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codeName="DieseArbeitsmappe"/>
  <mc:AlternateContent xmlns:mc="http://schemas.openxmlformats.org/markup-compatibility/2006">
    <mc:Choice Requires="x15">
      <x15ac:absPath xmlns:x15ac="http://schemas.microsoft.com/office/spreadsheetml/2010/11/ac" url="\\file01.stadtluzern.ch\Users II$\ScherrT\Desktop\"/>
    </mc:Choice>
  </mc:AlternateContent>
  <xr:revisionPtr revIDLastSave="2" documentId="8_{6BB48B2C-1D7C-4C02-9C8B-5F38136DC7EF}" xr6:coauthVersionLast="47" xr6:coauthVersionMax="47" xr10:uidLastSave="{9DE9A1EF-45CD-4FDD-AA9E-D348B526F7E5}"/>
  <bookViews>
    <workbookView xWindow="-120" yWindow="-120" windowWidth="29040" windowHeight="15720" tabRatio="785" xr2:uid="{9EF539E2-2FA4-4527-AA18-815BE54E5D7A}"/>
  </bookViews>
  <sheets>
    <sheet name="Inhalt" sheetId="138" r:id="rId1"/>
    <sheet name="1 Gesetzliche Grundlagen" sheetId="137" r:id="rId2"/>
    <sheet name="2 Kurzanleitung" sheetId="104" r:id="rId3"/>
    <sheet name="3 Bericht" sheetId="76" r:id="rId4"/>
    <sheet name="4 Datengrundlage" sheetId="82" r:id="rId5"/>
    <sheet name="Dachfläche (1)" sheetId="150" r:id="rId6"/>
    <sheet name="Dachfläche (2)" sheetId="145" r:id="rId7"/>
    <sheet name="Dachfläche (3)" sheetId="146" r:id="rId8"/>
    <sheet name="Dachfläche (4)" sheetId="147" r:id="rId9"/>
    <sheet name="Dachfläche (5)" sheetId="148" r:id="rId10"/>
    <sheet name="Dachfläche (6)" sheetId="149" r:id="rId11"/>
    <sheet name="Anhang" sheetId="85" r:id="rId12"/>
    <sheet name="Basisdaten" sheetId="91" state="hidden" r:id="rId13"/>
    <sheet name="Wirtschaftlichkeit_t.Vb." sheetId="65" state="hidden" r:id="rId14"/>
    <sheet name="Wirtschaftlichkeit_g.Min." sheetId="84" state="hidden" r:id="rId15"/>
    <sheet name="Faktor Ausrichtung" sheetId="80" state="hidden" r:id="rId16"/>
    <sheet name="Faktor Eigenverbrauch" sheetId="136" state="hidden" r:id="rId17"/>
    <sheet name="Versionshinweise" sheetId="106" state="hidden" r:id="rId18"/>
  </sheets>
  <definedNames>
    <definedName name="_Adresse">'3 Bericht'!$D$3</definedName>
    <definedName name="_Amortisationszeit_g.Min.">'Wirtschaftlichkeit_g.Min.'!$O$4</definedName>
    <definedName name="_Amortisationszeit_t.Vb.">'Wirtschaftlichkeit_t.Vb.'!$O$4</definedName>
    <definedName name="_Anf_Amortisation">'4 Datengrundlage'!$D$45</definedName>
    <definedName name="_Anlageleistung_g.Min.">'3 Bericht'!$L$20</definedName>
    <definedName name="_Anlageleistung_t.Vb.">'3 Bericht'!$K$20</definedName>
    <definedName name="_Anz_BlendarmeM_g.Min.">'3 Bericht'!#REF!</definedName>
    <definedName name="_Anz_BlendarmeM_t.Vb.">'3 Bericht'!#REF!</definedName>
    <definedName name="_Aufpreis_Blendarm">Basisdaten!$D$38</definedName>
    <definedName name="_Bez_Modul_Blendarm">Basisdaten!$D$30</definedName>
    <definedName name="_Bez_Modul_Standard">Basisdaten!$D$21</definedName>
    <definedName name="_Bonus_Blendarm_Stadt">Basisdaten!$D$145</definedName>
    <definedName name="_Bonus_Gründach_Stadt">Basisdaten!$D$146</definedName>
    <definedName name="_Bonus_Neigungswinkel_Bund">Basisdaten!$D$122</definedName>
    <definedName name="_Bonus_Pp_pronovo">Basisdaten!$D$123</definedName>
    <definedName name="_Bonus_Steil_Stadt">Basisdaten!$D$144</definedName>
    <definedName name="_Dach_Typ" localSheetId="5">'Dachfläche (1)'!$E$12</definedName>
    <definedName name="_Dach_Typ" localSheetId="6">'Dachfläche (2)'!$E$12</definedName>
    <definedName name="_Dach_Typ" localSheetId="7">'Dachfläche (2)'!$E$12</definedName>
    <definedName name="_Dach_Typ" localSheetId="8">'Dachfläche (2)'!$E$12</definedName>
    <definedName name="_Dach_Typ" localSheetId="9">'Dachfläche (2)'!$E$12</definedName>
    <definedName name="_Dach_Typ" localSheetId="10">'Dachfläche (2)'!$E$12</definedName>
    <definedName name="_Datum_IBS">'3 Bericht'!$M$3</definedName>
    <definedName name="_Degradation_Blendarm">'4 Datengrundlage'!#REF!</definedName>
    <definedName name="_Degradation_pro_Jahr_Blendarm">'4 Datengrundlage'!#REF!</definedName>
    <definedName name="_Degradation_pro_Jahr_Standard">'4 Datengrundlage'!$D$18</definedName>
    <definedName name="_Degradation_Standard">'4 Datengrundlage'!$D$17</definedName>
    <definedName name="_Dok_Titel">Basisdaten!$D$5</definedName>
    <definedName name="_EF_Ansatz">Basisdaten!$D$143</definedName>
    <definedName name="_EF_g.Min.">'4 Datengrundlage'!$F$58</definedName>
    <definedName name="_EF_g.Min._Rechenwert">'3 Bericht'!$M$39</definedName>
    <definedName name="_EF_t">Basisdaten!$D$142</definedName>
    <definedName name="_EF_t.Vb.">'4 Datengrundlage'!$D$58</definedName>
    <definedName name="_EF_t.Vb._Rechenwert">'3 Bericht'!$G$39</definedName>
    <definedName name="_EingabePV">'3 Bericht'!$B$14:$N$19</definedName>
    <definedName name="_EIV_g.Min.">Basisdaten!$D$139</definedName>
    <definedName name="_EIV_g.Min._Rechenwert">'3 Bericht'!$M$33</definedName>
    <definedName name="_EIV_t.Vb.">Basisdaten!$D$131</definedName>
    <definedName name="_EIV_t.Vb._Rechenwert">'3 Bericht'!$G$33</definedName>
    <definedName name="_EIV_t_auszahlung">Basisdaten!$D$116</definedName>
    <definedName name="_ENG_Basisdaten">Basisdaten!$D$71</definedName>
    <definedName name="_ENG_Rechenwert_g.Min.">'3 Bericht'!$M$44</definedName>
    <definedName name="_ENG_Rechenwert_t.Vb.">'3 Bericht'!$G$44</definedName>
    <definedName name="_Ertrag_g.Min.">'3 Bericht'!$N$20</definedName>
    <definedName name="_Ertrag_t.Vb.">'3 Bericht'!$M$20</definedName>
    <definedName name="_Faktor_Ausrichtung">'Faktor Ausrichtung'!$B$5:$AL$23</definedName>
    <definedName name="_xlnm._FilterDatabase" localSheetId="15" hidden="1">'Faktor Ausrichtung'!$A$4:$H$14</definedName>
    <definedName name="_Formularversion">Basisdaten!$D$3</definedName>
    <definedName name="_Gesamtkosten_g.Min.">'3 Bericht'!$M$27</definedName>
    <definedName name="_Gesamtkosten_t.Vb.">'3 Bericht'!$G$27</definedName>
    <definedName name="_Investitionskosten_g.Min.">'3 Bericht'!$M$41</definedName>
    <definedName name="_Investitionskosten_t.Vb.">'3 Bericht'!$G$41</definedName>
    <definedName name="_Kap_Verzinsung">'4 Datengrundlage'!$D$46</definedName>
    <definedName name="_Lastprofil_Typ">'3 Bericht'!$M$4</definedName>
    <definedName name="_Lebensdauer">Basisdaten!$D$68</definedName>
    <definedName name="_Letzte_REV">Basisdaten!$D$7</definedName>
    <definedName name="_Liste_Blendung">Basisdaten!$B$157:$B$159</definedName>
    <definedName name="_Liste_Dachtypen">Basisdaten!$B$151:$B$154</definedName>
    <definedName name="_Liste_Zusatznutzung">Basisdaten!$B$161:$B$162</definedName>
    <definedName name="_Modul_Randabstand">'4 Datengrundlage'!#REF!</definedName>
    <definedName name="_Modul_Spaltenabstand">'4 Datengrundlage'!#REF!</definedName>
    <definedName name="_Modul_Zeilenabstand">'4 Datengrundlage'!#REF!</definedName>
    <definedName name="_Modulbreite_Blendarm">'4 Datengrundlage'!$D$27</definedName>
    <definedName name="_Modulbreite_Standard">'4 Datengrundlage'!$D$20</definedName>
    <definedName name="_Modullänge_Blendarm">'4 Datengrundlage'!$D$26</definedName>
    <definedName name="_Modullänge_Standard">'4 Datengrundlage'!$D$19</definedName>
    <definedName name="_Modulleistung_Blendarm">'4 Datengrundlage'!$D$25</definedName>
    <definedName name="_Modulleistung_Standard">'4 Datengrundlage'!$D$16</definedName>
    <definedName name="_MWSt_Faktor">Basisdaten!$C$167</definedName>
    <definedName name="_MWSt_pflichtig">Basisdaten!$C$166</definedName>
    <definedName name="_MWSt_Satz">Basisdaten!$D$73</definedName>
    <definedName name="_Nächste_REV">Basisdaten!$D$8</definedName>
    <definedName name="_Neigungswinkel_für_NB_Bund">Basisdaten!$E$122</definedName>
    <definedName name="_Netzversorger">'3 Bericht'!$M$2</definedName>
    <definedName name="_PLZ">'3 Bericht'!$D$4</definedName>
    <definedName name="_Projektname">'3 Bericht'!$D$2</definedName>
    <definedName name="_Projekttyp">Basisdaten!$B$148:$B$149</definedName>
    <definedName name="_RasterAzimut">'Faktor Ausrichtung'!$B$1</definedName>
    <definedName name="_RasterNeigung">'Faktor Ausrichtung'!$B$2</definedName>
    <definedName name="_Referenzkosten_g.Min._exkl">Basisdaten!$E$100</definedName>
    <definedName name="_Referenzkosten_t.Vb._exkl">Basisdaten!$E$85</definedName>
    <definedName name="_Reflektionstyp">Basisdaten!$B$157:$C$159</definedName>
    <definedName name="_Schwelle_PPBonus">Basisdaten!$E$123</definedName>
    <definedName name="_Spez_Ertrag_Standort">'4 Datengrundlage'!$D$11</definedName>
    <definedName name="_Tabelle_F_Ausrichtung">'Faktor Ausrichtung'!$A$19:$N$29</definedName>
    <definedName name="_Tarif_Bezug">'4 Datengrundlage'!$D$41</definedName>
    <definedName name="_Tarif_Rücklieferung">'4 Datengrundlage'!$D$35</definedName>
    <definedName name="_Tarif_Unterhalt_Basisdaten">Basisdaten!$D$72</definedName>
    <definedName name="_Tarif_Unterhalt_Rechenwert_g.Min.">'3 Bericht'!$M$45</definedName>
    <definedName name="_Tarif_Unterhalt_Rechenwert_t.Vb.">'3 Bericht'!$G$45</definedName>
    <definedName name="_Verbrauch">'3 Bericht'!$D$5</definedName>
    <definedName name="_zul_Amortisationszeit">Basisdaten!$D$69</definedName>
    <definedName name="_xlnm.Print_Area" localSheetId="1">'1 Gesetzliche Grundlagen'!$A$1:$D$24</definedName>
    <definedName name="_xlnm.Print_Area" localSheetId="2">'2 Kurzanleitung'!$A$1:$H$86</definedName>
    <definedName name="_xlnm.Print_Area" localSheetId="3">'3 Bericht'!$A$1:$O$68</definedName>
    <definedName name="_xlnm.Print_Area" localSheetId="4">'4 Datengrundlage'!$A$1:$I$59</definedName>
    <definedName name="_xlnm.Print_Area" localSheetId="11">Anhang!$A$1:$I$140</definedName>
    <definedName name="_xlnm.Print_Area" localSheetId="5">'Dachfläche (1)'!$A$2:$K$85</definedName>
    <definedName name="_xlnm.Print_Area" localSheetId="6">'Dachfläche (2)'!$A$2:$K$85</definedName>
    <definedName name="_xlnm.Print_Area" localSheetId="7">'Dachfläche (3)'!$A$2:$K$85</definedName>
    <definedName name="_xlnm.Print_Area" localSheetId="8">'Dachfläche (4)'!$A$2:$K$85</definedName>
    <definedName name="_xlnm.Print_Area" localSheetId="9">'Dachfläche (5)'!$A$2:$K$85</definedName>
    <definedName name="_xlnm.Print_Area" localSheetId="10">'Dachfläche (6)'!$A$2:$K$85</definedName>
    <definedName name="_xlnm.Print_Area" localSheetId="0">Inhalt!$A$1:$C$22</definedName>
    <definedName name="Wirtschaftlichkeit_Achsenbeschriftung" localSheetId="14">OFFSET('Wirtschaftlichkeit_g.Min.'!$B$5,,,COUNT('Wirtschaftlichkeit_g.Min.'!$B$5:$B$101),1)</definedName>
    <definedName name="Wirtschaftlichkeit_Achsenbeschriftung" localSheetId="13">OFFSET('Wirtschaftlichkeit_t.Vb.'!$B$5,,,COUNT('Wirtschaftlichkeit_t.Vb.'!$B$5:$B$101),1)</definedName>
    <definedName name="Wirtschaftlichkeit_neg_Entwicklung" localSheetId="14">OFFSET('Wirtschaftlichkeit_g.Min.'!$P$5,,,COUNT('Wirtschaftlichkeit_g.Min.'!$P$5:$P$101),1)</definedName>
    <definedName name="Wirtschaftlichkeit_neg_Entwicklung">OFFSET('Wirtschaftlichkeit_t.Vb.'!$P$5,,,COUNT('Wirtschaftlichkeit_t.Vb.'!$P$5:$P$101),1)</definedName>
    <definedName name="Wirtschaftlichkeit_pos_Entwicklung" localSheetId="14">OFFSET('Wirtschaftlichkeit_g.Min.'!$Q$5,,,COUNT('Wirtschaftlichkeit_g.Min.'!$Q$5:$Q$101),1)</definedName>
    <definedName name="Wirtschaftlichkeit_pos_Entwicklung">OFFSET('Wirtschaftlichkeit_t.Vb.'!$Q$5,,,COUNT('Wirtschaftlichkeit_t.Vb.'!$Q$5:$Q$101),1)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4" i="150" l="1"/>
  <c r="G84" i="150"/>
  <c r="F84" i="150"/>
  <c r="H83" i="150"/>
  <c r="G83" i="150"/>
  <c r="F83" i="150"/>
  <c r="H82" i="150"/>
  <c r="G82" i="150"/>
  <c r="F82" i="150"/>
  <c r="H81" i="150"/>
  <c r="G81" i="150"/>
  <c r="F81" i="150"/>
  <c r="H80" i="150"/>
  <c r="G80" i="150"/>
  <c r="F80" i="150"/>
  <c r="B76" i="150"/>
  <c r="H71" i="150"/>
  <c r="G71" i="150"/>
  <c r="F71" i="150"/>
  <c r="B69" i="150"/>
  <c r="E63" i="150"/>
  <c r="E54" i="150"/>
  <c r="G51" i="150" a="1"/>
  <c r="E51" i="150"/>
  <c r="H49" i="150"/>
  <c r="E49" i="150"/>
  <c r="H48" i="150"/>
  <c r="E48" i="150"/>
  <c r="H47" i="150"/>
  <c r="E47" i="150"/>
  <c r="H45" i="150"/>
  <c r="E45" i="150"/>
  <c r="G35" i="150"/>
  <c r="E35" i="150" a="1"/>
  <c r="E34" i="150" a="1"/>
  <c r="C34" i="150"/>
  <c r="G33" i="150"/>
  <c r="B30" i="150"/>
  <c r="B29" i="150"/>
  <c r="F28" i="150"/>
  <c r="E28" i="150"/>
  <c r="B27" i="150"/>
  <c r="I26" i="150"/>
  <c r="E26" i="150"/>
  <c r="B26" i="150"/>
  <c r="F25" i="150"/>
  <c r="E24" i="150"/>
  <c r="E23" i="150"/>
  <c r="B23" i="150"/>
  <c r="E19" i="150"/>
  <c r="E18" i="150"/>
  <c r="G17" i="150"/>
  <c r="G16" i="150"/>
  <c r="B16" i="150"/>
  <c r="B15" i="150"/>
  <c r="E12" i="150"/>
  <c r="B14" i="150" s="1"/>
  <c r="K7" i="150"/>
  <c r="H7" i="150"/>
  <c r="E7" i="150"/>
  <c r="B7" i="150"/>
  <c r="K6" i="150"/>
  <c r="H6" i="150"/>
  <c r="E6" i="150"/>
  <c r="B6" i="150"/>
  <c r="K5" i="150"/>
  <c r="H5" i="150"/>
  <c r="E5" i="150"/>
  <c r="B5" i="150"/>
  <c r="B1" i="150"/>
  <c r="H84" i="149"/>
  <c r="G84" i="149"/>
  <c r="F84" i="149"/>
  <c r="H83" i="149"/>
  <c r="G83" i="149"/>
  <c r="F83" i="149"/>
  <c r="H82" i="149"/>
  <c r="G82" i="149"/>
  <c r="F82" i="149"/>
  <c r="H81" i="149"/>
  <c r="G81" i="149"/>
  <c r="F81" i="149"/>
  <c r="H80" i="149"/>
  <c r="G80" i="149"/>
  <c r="F80" i="149"/>
  <c r="B76" i="149"/>
  <c r="H71" i="149"/>
  <c r="G71" i="149"/>
  <c r="F71" i="149"/>
  <c r="B69" i="149"/>
  <c r="E63" i="149"/>
  <c r="E54" i="149"/>
  <c r="G51" i="149" a="1"/>
  <c r="E51" i="149"/>
  <c r="H49" i="149"/>
  <c r="E49" i="149"/>
  <c r="H48" i="149"/>
  <c r="E48" i="149"/>
  <c r="H47" i="149"/>
  <c r="E47" i="149"/>
  <c r="H45" i="149"/>
  <c r="E45" i="149"/>
  <c r="G35" i="149"/>
  <c r="E35" i="149" a="1"/>
  <c r="E34" i="149" a="1"/>
  <c r="C34" i="149"/>
  <c r="G33" i="149"/>
  <c r="F30" i="149"/>
  <c r="B30" i="149"/>
  <c r="F29" i="149"/>
  <c r="B29" i="149"/>
  <c r="F28" i="149"/>
  <c r="E28" i="149"/>
  <c r="F27" i="149"/>
  <c r="B27" i="149"/>
  <c r="I26" i="149"/>
  <c r="F26" i="149"/>
  <c r="E26" i="149"/>
  <c r="B26" i="149"/>
  <c r="F25" i="149"/>
  <c r="E24" i="149"/>
  <c r="E23" i="149"/>
  <c r="B23" i="149"/>
  <c r="E19" i="149"/>
  <c r="E18" i="149"/>
  <c r="G17" i="149"/>
  <c r="G16" i="149"/>
  <c r="B16" i="149"/>
  <c r="B15" i="149"/>
  <c r="B14" i="149"/>
  <c r="E12" i="149"/>
  <c r="K7" i="149"/>
  <c r="H7" i="149"/>
  <c r="E7" i="149"/>
  <c r="B7" i="149"/>
  <c r="K6" i="149"/>
  <c r="H6" i="149"/>
  <c r="E6" i="149"/>
  <c r="B6" i="149"/>
  <c r="K5" i="149"/>
  <c r="H5" i="149"/>
  <c r="E5" i="149"/>
  <c r="B5" i="149"/>
  <c r="B1" i="149"/>
  <c r="H84" i="148"/>
  <c r="G84" i="148"/>
  <c r="F84" i="148"/>
  <c r="H83" i="148"/>
  <c r="G83" i="148"/>
  <c r="F83" i="148"/>
  <c r="H82" i="148"/>
  <c r="G82" i="148"/>
  <c r="F82" i="148"/>
  <c r="H81" i="148"/>
  <c r="G81" i="148"/>
  <c r="F81" i="148"/>
  <c r="H80" i="148"/>
  <c r="G80" i="148"/>
  <c r="F80" i="148"/>
  <c r="B76" i="148"/>
  <c r="H71" i="148"/>
  <c r="G71" i="148"/>
  <c r="F71" i="148"/>
  <c r="B69" i="148"/>
  <c r="E63" i="148"/>
  <c r="E54" i="148"/>
  <c r="G51" i="148" a="1"/>
  <c r="E51" i="148"/>
  <c r="H49" i="148"/>
  <c r="E49" i="148"/>
  <c r="H48" i="148"/>
  <c r="E48" i="148"/>
  <c r="H47" i="148"/>
  <c r="E47" i="148"/>
  <c r="H45" i="148"/>
  <c r="E45" i="148"/>
  <c r="G35" i="148"/>
  <c r="E35" i="148" a="1"/>
  <c r="E34" i="148" a="1"/>
  <c r="C34" i="148"/>
  <c r="G33" i="148"/>
  <c r="B30" i="148"/>
  <c r="B29" i="148"/>
  <c r="F28" i="148"/>
  <c r="E28" i="148"/>
  <c r="B27" i="148"/>
  <c r="I26" i="148"/>
  <c r="E26" i="148"/>
  <c r="B26" i="148"/>
  <c r="F25" i="148"/>
  <c r="E24" i="148"/>
  <c r="E23" i="148"/>
  <c r="B23" i="148"/>
  <c r="E19" i="148"/>
  <c r="E18" i="148"/>
  <c r="G17" i="148"/>
  <c r="G16" i="148"/>
  <c r="B16" i="148"/>
  <c r="B15" i="148"/>
  <c r="B14" i="148"/>
  <c r="E12" i="148"/>
  <c r="K7" i="148"/>
  <c r="H7" i="148"/>
  <c r="E7" i="148"/>
  <c r="B7" i="148"/>
  <c r="K6" i="148"/>
  <c r="H6" i="148"/>
  <c r="E6" i="148"/>
  <c r="B6" i="148"/>
  <c r="K5" i="148"/>
  <c r="H5" i="148"/>
  <c r="E5" i="148"/>
  <c r="B5" i="148"/>
  <c r="B1" i="148"/>
  <c r="H84" i="147"/>
  <c r="G84" i="147"/>
  <c r="F84" i="147"/>
  <c r="H83" i="147"/>
  <c r="G83" i="147"/>
  <c r="F83" i="147"/>
  <c r="H82" i="147"/>
  <c r="G82" i="147"/>
  <c r="F82" i="147"/>
  <c r="H81" i="147"/>
  <c r="G81" i="147"/>
  <c r="F81" i="147"/>
  <c r="H80" i="147"/>
  <c r="G80" i="147"/>
  <c r="F80" i="147"/>
  <c r="B76" i="147"/>
  <c r="H71" i="147"/>
  <c r="G71" i="147"/>
  <c r="F71" i="147"/>
  <c r="B69" i="147"/>
  <c r="E63" i="147"/>
  <c r="E54" i="147"/>
  <c r="G51" i="147" a="1"/>
  <c r="E51" i="147"/>
  <c r="H49" i="147"/>
  <c r="E49" i="147"/>
  <c r="H48" i="147"/>
  <c r="E48" i="147"/>
  <c r="H47" i="147"/>
  <c r="E47" i="147"/>
  <c r="H45" i="147"/>
  <c r="E45" i="147"/>
  <c r="G35" i="147"/>
  <c r="E35" i="147" a="1"/>
  <c r="E34" i="147" a="1"/>
  <c r="C34" i="147"/>
  <c r="G33" i="147"/>
  <c r="B30" i="147"/>
  <c r="B29" i="147"/>
  <c r="F28" i="147"/>
  <c r="E28" i="147"/>
  <c r="B27" i="147"/>
  <c r="I26" i="147"/>
  <c r="E26" i="147"/>
  <c r="B26" i="147"/>
  <c r="F25" i="147"/>
  <c r="E24" i="147"/>
  <c r="E23" i="147"/>
  <c r="B23" i="147"/>
  <c r="E19" i="147"/>
  <c r="E18" i="147"/>
  <c r="G17" i="147"/>
  <c r="G16" i="147"/>
  <c r="B16" i="147"/>
  <c r="B15" i="147"/>
  <c r="B14" i="147"/>
  <c r="E12" i="147"/>
  <c r="K7" i="147"/>
  <c r="H7" i="147"/>
  <c r="E7" i="147"/>
  <c r="B7" i="147"/>
  <c r="K6" i="147"/>
  <c r="H6" i="147"/>
  <c r="E6" i="147"/>
  <c r="B6" i="147"/>
  <c r="K5" i="147"/>
  <c r="H5" i="147"/>
  <c r="E5" i="147"/>
  <c r="B5" i="147"/>
  <c r="B1" i="147"/>
  <c r="H84" i="146"/>
  <c r="G84" i="146"/>
  <c r="F84" i="146"/>
  <c r="H83" i="146"/>
  <c r="G83" i="146"/>
  <c r="F83" i="146"/>
  <c r="H82" i="146"/>
  <c r="G82" i="146"/>
  <c r="F82" i="146"/>
  <c r="H81" i="146"/>
  <c r="G81" i="146"/>
  <c r="F81" i="146"/>
  <c r="H80" i="146"/>
  <c r="G80" i="146"/>
  <c r="F80" i="146"/>
  <c r="B76" i="146"/>
  <c r="H71" i="146"/>
  <c r="G71" i="146"/>
  <c r="F71" i="146"/>
  <c r="B69" i="146"/>
  <c r="E63" i="146"/>
  <c r="E54" i="146"/>
  <c r="G51" i="146" a="1"/>
  <c r="E51" i="146"/>
  <c r="H49" i="146"/>
  <c r="E49" i="146"/>
  <c r="H48" i="146"/>
  <c r="E48" i="146"/>
  <c r="H47" i="146"/>
  <c r="E47" i="146"/>
  <c r="H45" i="146"/>
  <c r="E45" i="146"/>
  <c r="G35" i="146"/>
  <c r="E35" i="146" a="1"/>
  <c r="E34" i="146" a="1"/>
  <c r="C34" i="146"/>
  <c r="G33" i="146"/>
  <c r="B30" i="146"/>
  <c r="B29" i="146"/>
  <c r="F28" i="146"/>
  <c r="E28" i="146"/>
  <c r="F27" i="146"/>
  <c r="B27" i="146"/>
  <c r="I26" i="146"/>
  <c r="F26" i="146"/>
  <c r="E26" i="146"/>
  <c r="E27" i="146" s="1"/>
  <c r="B26" i="146"/>
  <c r="F25" i="146"/>
  <c r="E24" i="146"/>
  <c r="F30" i="146" s="1"/>
  <c r="E23" i="146"/>
  <c r="F29" i="146" s="1"/>
  <c r="B23" i="146"/>
  <c r="E19" i="146"/>
  <c r="E18" i="146"/>
  <c r="G17" i="146"/>
  <c r="G16" i="146"/>
  <c r="B16" i="146"/>
  <c r="B15" i="146"/>
  <c r="B14" i="146"/>
  <c r="E12" i="146"/>
  <c r="K7" i="146"/>
  <c r="H7" i="146"/>
  <c r="E7" i="146"/>
  <c r="B7" i="146"/>
  <c r="K6" i="146"/>
  <c r="H6" i="146"/>
  <c r="E6" i="146"/>
  <c r="B6" i="146"/>
  <c r="K5" i="146"/>
  <c r="H5" i="146"/>
  <c r="E5" i="146"/>
  <c r="B5" i="146"/>
  <c r="B1" i="146"/>
  <c r="H84" i="145"/>
  <c r="G84" i="145"/>
  <c r="F84" i="145"/>
  <c r="H83" i="145"/>
  <c r="G83" i="145"/>
  <c r="F83" i="145"/>
  <c r="H82" i="145"/>
  <c r="G82" i="145"/>
  <c r="F82" i="145"/>
  <c r="H81" i="145"/>
  <c r="G81" i="145"/>
  <c r="F81" i="145"/>
  <c r="H80" i="145"/>
  <c r="G80" i="145"/>
  <c r="F80" i="145"/>
  <c r="B76" i="145"/>
  <c r="H71" i="145"/>
  <c r="G71" i="145"/>
  <c r="F71" i="145"/>
  <c r="B69" i="145"/>
  <c r="E63" i="145"/>
  <c r="E54" i="145"/>
  <c r="G51" i="145" a="1"/>
  <c r="E51" i="145"/>
  <c r="H49" i="145"/>
  <c r="E49" i="145"/>
  <c r="H48" i="145"/>
  <c r="E48" i="145"/>
  <c r="H47" i="145"/>
  <c r="H45" i="145"/>
  <c r="E45" i="145"/>
  <c r="G35" i="145"/>
  <c r="E35" i="145" a="1"/>
  <c r="E34" i="145" a="1"/>
  <c r="G33" i="145"/>
  <c r="F30" i="145"/>
  <c r="B30" i="145"/>
  <c r="B29" i="145"/>
  <c r="E28" i="145"/>
  <c r="B27" i="145"/>
  <c r="I26" i="145"/>
  <c r="B26" i="145"/>
  <c r="E24" i="145"/>
  <c r="F27" i="145" s="1"/>
  <c r="E23" i="145"/>
  <c r="E18" i="145"/>
  <c r="G17" i="145"/>
  <c r="G16" i="145"/>
  <c r="E12" i="145"/>
  <c r="K7" i="145"/>
  <c r="H7" i="145"/>
  <c r="E7" i="145"/>
  <c r="B7" i="145"/>
  <c r="K6" i="145"/>
  <c r="H6" i="145"/>
  <c r="E6" i="145"/>
  <c r="B6" i="145"/>
  <c r="K5" i="145"/>
  <c r="H5" i="145"/>
  <c r="E5" i="145"/>
  <c r="B5" i="145"/>
  <c r="B1" i="145"/>
  <c r="D30" i="82"/>
  <c r="B65" i="76"/>
  <c r="S44" i="76"/>
  <c r="H4" i="82"/>
  <c r="H3" i="82"/>
  <c r="H2" i="82"/>
  <c r="E55" i="150" l="1"/>
  <c r="E53" i="150"/>
  <c r="E56" i="150" s="1"/>
  <c r="E52" i="150"/>
  <c r="C38" i="150"/>
  <c r="G34" i="150"/>
  <c r="G60" i="150" a="1"/>
  <c r="E60" i="150"/>
  <c r="I29" i="150"/>
  <c r="E29" i="150"/>
  <c r="E30" i="150" s="1"/>
  <c r="E27" i="150"/>
  <c r="F30" i="150"/>
  <c r="F27" i="150"/>
  <c r="F26" i="150"/>
  <c r="F29" i="150"/>
  <c r="H74" i="150"/>
  <c r="H75" i="150" s="1"/>
  <c r="G74" i="150"/>
  <c r="G75" i="150" s="1"/>
  <c r="F74" i="150"/>
  <c r="F75" i="150" s="1"/>
  <c r="H73" i="150"/>
  <c r="G73" i="150"/>
  <c r="F73" i="150"/>
  <c r="D51" i="150"/>
  <c r="D60" i="150"/>
  <c r="B2" i="150"/>
  <c r="E55" i="149"/>
  <c r="E53" i="149"/>
  <c r="E56" i="149" s="1"/>
  <c r="E52" i="149"/>
  <c r="C38" i="149"/>
  <c r="G34" i="149"/>
  <c r="G60" i="149" a="1"/>
  <c r="E60" i="149"/>
  <c r="I29" i="149"/>
  <c r="E29" i="149"/>
  <c r="E30" i="149" s="1"/>
  <c r="E27" i="149"/>
  <c r="H74" i="149"/>
  <c r="H75" i="149" s="1"/>
  <c r="G74" i="149"/>
  <c r="G75" i="149" s="1"/>
  <c r="F74" i="149"/>
  <c r="F75" i="149" s="1"/>
  <c r="H73" i="149"/>
  <c r="G73" i="149"/>
  <c r="F73" i="149"/>
  <c r="D60" i="149"/>
  <c r="D51" i="149"/>
  <c r="B2" i="149"/>
  <c r="E55" i="148"/>
  <c r="E53" i="148"/>
  <c r="E56" i="148" s="1"/>
  <c r="E52" i="148"/>
  <c r="C38" i="148"/>
  <c r="G34" i="148"/>
  <c r="G60" i="148" a="1"/>
  <c r="E60" i="148"/>
  <c r="I29" i="148"/>
  <c r="E29" i="148"/>
  <c r="E30" i="148" s="1"/>
  <c r="E27" i="148"/>
  <c r="F27" i="148"/>
  <c r="F30" i="148"/>
  <c r="F26" i="148"/>
  <c r="F29" i="148"/>
  <c r="H74" i="148"/>
  <c r="H75" i="148" s="1"/>
  <c r="G74" i="148"/>
  <c r="G75" i="148" s="1"/>
  <c r="F74" i="148"/>
  <c r="F75" i="148" s="1"/>
  <c r="H73" i="148"/>
  <c r="G73" i="148"/>
  <c r="F73" i="148"/>
  <c r="D60" i="148"/>
  <c r="D51" i="148"/>
  <c r="B2" i="148"/>
  <c r="E60" i="146"/>
  <c r="G60" i="146" a="1"/>
  <c r="E55" i="147"/>
  <c r="E53" i="147"/>
  <c r="E56" i="147" s="1"/>
  <c r="E52" i="147"/>
  <c r="C38" i="147"/>
  <c r="G34" i="147"/>
  <c r="G60" i="147" a="1"/>
  <c r="E60" i="147"/>
  <c r="I29" i="147"/>
  <c r="E29" i="147"/>
  <c r="E30" i="147" s="1"/>
  <c r="E27" i="147"/>
  <c r="F27" i="147"/>
  <c r="F30" i="147"/>
  <c r="F29" i="147"/>
  <c r="F26" i="147"/>
  <c r="H74" i="147"/>
  <c r="H75" i="147" s="1"/>
  <c r="G74" i="147"/>
  <c r="G75" i="147" s="1"/>
  <c r="F74" i="147"/>
  <c r="F75" i="147" s="1"/>
  <c r="H73" i="147"/>
  <c r="G73" i="147"/>
  <c r="F73" i="147"/>
  <c r="D60" i="147"/>
  <c r="D51" i="147"/>
  <c r="B2" i="147"/>
  <c r="B2" i="146"/>
  <c r="D60" i="146"/>
  <c r="D51" i="146"/>
  <c r="E52" i="146"/>
  <c r="E55" i="146"/>
  <c r="E53" i="146"/>
  <c r="C38" i="146"/>
  <c r="G34" i="146"/>
  <c r="I29" i="146"/>
  <c r="E29" i="146"/>
  <c r="E30" i="146" s="1"/>
  <c r="H74" i="146"/>
  <c r="H75" i="146" s="1"/>
  <c r="G74" i="146"/>
  <c r="G75" i="146" s="1"/>
  <c r="F74" i="146"/>
  <c r="F75" i="146" s="1"/>
  <c r="H73" i="146"/>
  <c r="G73" i="146"/>
  <c r="F73" i="146"/>
  <c r="G60" i="145" a="1"/>
  <c r="E60" i="145"/>
  <c r="E64" i="145"/>
  <c r="E62" i="145"/>
  <c r="E65" i="145" s="1"/>
  <c r="E61" i="145"/>
  <c r="E55" i="145"/>
  <c r="E53" i="145"/>
  <c r="E56" i="145" s="1"/>
  <c r="E52" i="145"/>
  <c r="I29" i="145"/>
  <c r="F29" i="145"/>
  <c r="F26" i="145"/>
  <c r="E47" i="145"/>
  <c r="C34" i="145"/>
  <c r="B16" i="145"/>
  <c r="E29" i="145"/>
  <c r="E30" i="145" s="1"/>
  <c r="F28" i="145"/>
  <c r="B23" i="145"/>
  <c r="B15" i="145"/>
  <c r="E26" i="145"/>
  <c r="F25" i="145"/>
  <c r="E19" i="145"/>
  <c r="B14" i="145"/>
  <c r="D60" i="145"/>
  <c r="D51" i="145"/>
  <c r="B2" i="145"/>
  <c r="B101" i="91"/>
  <c r="C101" i="91" s="1"/>
  <c r="B102" i="91"/>
  <c r="C102" i="91" s="1"/>
  <c r="B103" i="91"/>
  <c r="C103" i="91" s="1"/>
  <c r="B104" i="91"/>
  <c r="C104" i="91" s="1"/>
  <c r="B105" i="91"/>
  <c r="C105" i="91" s="1"/>
  <c r="B106" i="91"/>
  <c r="C106" i="91" s="1"/>
  <c r="B107" i="91"/>
  <c r="C107" i="91" s="1"/>
  <c r="B108" i="91"/>
  <c r="C108" i="91" s="1"/>
  <c r="B109" i="91"/>
  <c r="C109" i="91" s="1"/>
  <c r="B110" i="91"/>
  <c r="C110" i="91" s="1"/>
  <c r="B111" i="91"/>
  <c r="C111" i="91" s="1"/>
  <c r="B112" i="91"/>
  <c r="C112" i="91" s="1"/>
  <c r="B86" i="91"/>
  <c r="C86" i="91" s="1"/>
  <c r="B87" i="91"/>
  <c r="C87" i="91" s="1"/>
  <c r="B88" i="91"/>
  <c r="C88" i="91" s="1"/>
  <c r="B89" i="91"/>
  <c r="C89" i="91" s="1"/>
  <c r="B90" i="91"/>
  <c r="C90" i="91" s="1"/>
  <c r="B91" i="91"/>
  <c r="C91" i="91" s="1"/>
  <c r="B92" i="91"/>
  <c r="C92" i="91" s="1"/>
  <c r="B93" i="91"/>
  <c r="C93" i="91" s="1"/>
  <c r="B94" i="91"/>
  <c r="B95" i="91"/>
  <c r="C95" i="91" s="1"/>
  <c r="B96" i="91"/>
  <c r="B97" i="91"/>
  <c r="C97" i="91" s="1"/>
  <c r="T14" i="76"/>
  <c r="H22" i="82"/>
  <c r="H13" i="82"/>
  <c r="B27" i="76"/>
  <c r="B60" i="76"/>
  <c r="B59" i="76"/>
  <c r="C64" i="76"/>
  <c r="C166" i="91"/>
  <c r="B45" i="76"/>
  <c r="B44" i="76"/>
  <c r="B81" i="91"/>
  <c r="B82" i="91"/>
  <c r="B80" i="91"/>
  <c r="B79" i="91"/>
  <c r="B61" i="76"/>
  <c r="G12" i="76"/>
  <c r="E12" i="76"/>
  <c r="H11" i="76"/>
  <c r="D11" i="76"/>
  <c r="D5" i="91"/>
  <c r="G49" i="91"/>
  <c r="D49" i="91" s="1"/>
  <c r="O51" i="91"/>
  <c r="G89" i="91"/>
  <c r="G90" i="91"/>
  <c r="G87" i="91"/>
  <c r="G91" i="91"/>
  <c r="G88" i="91"/>
  <c r="C14" i="76"/>
  <c r="V14" i="76"/>
  <c r="E61" i="150" l="1"/>
  <c r="E62" i="150"/>
  <c r="E64" i="150"/>
  <c r="E61" i="149"/>
  <c r="E62" i="149"/>
  <c r="E64" i="149"/>
  <c r="E64" i="146"/>
  <c r="E62" i="146"/>
  <c r="E61" i="146"/>
  <c r="E61" i="148"/>
  <c r="E62" i="148"/>
  <c r="E64" i="148"/>
  <c r="E61" i="147"/>
  <c r="E62" i="147"/>
  <c r="E65" i="147" s="1"/>
  <c r="E64" i="147"/>
  <c r="E56" i="146"/>
  <c r="G34" i="145"/>
  <c r="C38" i="145"/>
  <c r="E27" i="145"/>
  <c r="F73" i="145"/>
  <c r="G73" i="145"/>
  <c r="H73" i="145"/>
  <c r="F74" i="145"/>
  <c r="F75" i="145" s="1"/>
  <c r="G74" i="145"/>
  <c r="G75" i="145" s="1"/>
  <c r="H74" i="145"/>
  <c r="H75" i="145" s="1"/>
  <c r="C94" i="91"/>
  <c r="C96" i="91"/>
  <c r="B28" i="76"/>
  <c r="B29" i="82"/>
  <c r="B48" i="82"/>
  <c r="C167" i="91"/>
  <c r="G45" i="76"/>
  <c r="M45" i="76"/>
  <c r="D12" i="76"/>
  <c r="C17" i="82"/>
  <c r="H58" i="82"/>
  <c r="L59" i="91"/>
  <c r="P59" i="91"/>
  <c r="P58" i="91"/>
  <c r="D37" i="91"/>
  <c r="D33" i="91"/>
  <c r="D24" i="91"/>
  <c r="D28" i="91"/>
  <c r="R51" i="91"/>
  <c r="G101" i="91"/>
  <c r="G102" i="91"/>
  <c r="G103" i="91"/>
  <c r="G106" i="91"/>
  <c r="G105" i="91"/>
  <c r="G86" i="91"/>
  <c r="G104" i="91"/>
  <c r="E65" i="150" l="1"/>
  <c r="E65" i="149"/>
  <c r="E65" i="146"/>
  <c r="E65" i="148"/>
  <c r="B66" i="76"/>
  <c r="B54" i="82"/>
  <c r="AF14" i="76"/>
  <c r="K59" i="91" l="1"/>
  <c r="O59" i="91"/>
  <c r="AJ14" i="76"/>
  <c r="E14" i="76"/>
  <c r="AQ14" i="76"/>
  <c r="U14" i="76"/>
  <c r="AD14" i="76"/>
  <c r="AI14" i="76"/>
  <c r="AE14" i="76"/>
  <c r="AP14" i="76"/>
  <c r="W14" i="76" l="1"/>
  <c r="F14" i="76" s="1"/>
  <c r="I14" i="76"/>
  <c r="J14" i="76"/>
  <c r="D38" i="91"/>
  <c r="I4" i="82"/>
  <c r="I2" i="82"/>
  <c r="AY14" i="76"/>
  <c r="G14" i="76"/>
  <c r="Z14" i="76"/>
  <c r="AA14" i="76"/>
  <c r="AZ14" i="76" l="1"/>
  <c r="BA14" i="76"/>
  <c r="BB14" i="76" s="1"/>
  <c r="AB14" i="76" a="1"/>
  <c r="H14" i="76"/>
  <c r="BC14" i="76" s="1"/>
  <c r="AC14" i="76" a="1"/>
  <c r="F52" i="82"/>
  <c r="D52" i="82"/>
  <c r="I57" i="91"/>
  <c r="I58" i="91"/>
  <c r="I60" i="91"/>
  <c r="I56" i="91"/>
  <c r="I54" i="91"/>
  <c r="I52" i="91"/>
  <c r="I51" i="91"/>
  <c r="G51" i="91" s="1"/>
  <c r="R59" i="91"/>
  <c r="I59" i="91" s="1"/>
  <c r="M59" i="91"/>
  <c r="H59" i="91" s="1"/>
  <c r="H57" i="91"/>
  <c r="H58" i="91"/>
  <c r="H60" i="91"/>
  <c r="H56" i="91"/>
  <c r="H52" i="91"/>
  <c r="H54" i="91"/>
  <c r="H51" i="91"/>
  <c r="C25" i="82" l="1"/>
  <c r="D25" i="82" s="1"/>
  <c r="C26" i="82"/>
  <c r="D26" i="82" s="1"/>
  <c r="C27" i="82"/>
  <c r="D27" i="82" s="1"/>
  <c r="C24" i="82"/>
  <c r="D24" i="82" s="1"/>
  <c r="C15" i="82"/>
  <c r="D15" i="82" s="1"/>
  <c r="D4" i="82"/>
  <c r="E27" i="82" l="1"/>
  <c r="G27" i="82" s="1"/>
  <c r="E26" i="82"/>
  <c r="G26" i="82" s="1"/>
  <c r="E25" i="82"/>
  <c r="G25" i="82" s="1"/>
  <c r="D57" i="82" l="1"/>
  <c r="F57" i="82"/>
  <c r="B121" i="91"/>
  <c r="B120" i="91"/>
  <c r="B119" i="91"/>
  <c r="C45" i="82" l="1"/>
  <c r="H45" i="82" s="1"/>
  <c r="C46" i="82"/>
  <c r="H46" i="82" s="1"/>
  <c r="C37" i="82"/>
  <c r="C38" i="82"/>
  <c r="C39" i="82"/>
  <c r="C40" i="82"/>
  <c r="C36" i="82"/>
  <c r="C34" i="82"/>
  <c r="C31" i="82"/>
  <c r="E31" i="82" s="1"/>
  <c r="C30" i="82"/>
  <c r="G50" i="91"/>
  <c r="F51" i="91" s="1"/>
  <c r="H31" i="82" s="1"/>
  <c r="D51" i="91"/>
  <c r="D31" i="82" s="1"/>
  <c r="C19" i="82"/>
  <c r="E19" i="82" s="1"/>
  <c r="G19" i="82" s="1"/>
  <c r="C20" i="82"/>
  <c r="D20" i="82" s="1"/>
  <c r="E17" i="82"/>
  <c r="G17" i="82" s="1"/>
  <c r="C8" i="82"/>
  <c r="D8" i="82" s="1"/>
  <c r="D9" i="82" s="1"/>
  <c r="G18" i="82"/>
  <c r="C16" i="82"/>
  <c r="E16" i="82" s="1"/>
  <c r="G16" i="82" s="1"/>
  <c r="D19" i="82" l="1"/>
  <c r="D17" i="82"/>
  <c r="D16" i="82"/>
  <c r="E20" i="82"/>
  <c r="G20" i="82" s="1"/>
  <c r="E8" i="82"/>
  <c r="D10" i="82" s="1"/>
  <c r="H10" i="82"/>
  <c r="F23" i="150" l="1"/>
  <c r="F24" i="150" a="1"/>
  <c r="F24" i="149" a="1"/>
  <c r="F23" i="149"/>
  <c r="F23" i="148"/>
  <c r="F24" i="148" a="1"/>
  <c r="F23" i="147"/>
  <c r="F24" i="147" a="1"/>
  <c r="F24" i="146" a="1"/>
  <c r="F23" i="146"/>
  <c r="F23" i="145"/>
  <c r="F24" i="145" a="1"/>
  <c r="E10" i="82"/>
  <c r="D11" i="82" s="1"/>
  <c r="C10" i="82"/>
  <c r="X14" i="76"/>
  <c r="H46" i="150" l="1"/>
  <c r="E46" i="150"/>
  <c r="E33" i="149"/>
  <c r="E33" i="150"/>
  <c r="E46" i="149"/>
  <c r="H46" i="149"/>
  <c r="E36" i="149"/>
  <c r="E40" i="149" s="1"/>
  <c r="E37" i="149"/>
  <c r="E41" i="149" s="1"/>
  <c r="G41" i="149" s="1"/>
  <c r="H46" i="148"/>
  <c r="E46" i="148"/>
  <c r="E33" i="147"/>
  <c r="E37" i="147" s="1"/>
  <c r="E41" i="147" s="1"/>
  <c r="G41" i="147" s="1"/>
  <c r="E33" i="148"/>
  <c r="H46" i="147"/>
  <c r="E46" i="147"/>
  <c r="E36" i="147"/>
  <c r="E40" i="147" s="1"/>
  <c r="H46" i="146"/>
  <c r="E46" i="146"/>
  <c r="E33" i="145"/>
  <c r="E33" i="146"/>
  <c r="E46" i="145"/>
  <c r="H46" i="145"/>
  <c r="D89" i="91"/>
  <c r="D90" i="91"/>
  <c r="D104" i="91"/>
  <c r="D106" i="91"/>
  <c r="D91" i="91"/>
  <c r="D105" i="91"/>
  <c r="E36" i="150" l="1"/>
  <c r="E40" i="150" s="1"/>
  <c r="E37" i="150"/>
  <c r="E41" i="150" s="1"/>
  <c r="G41" i="150" s="1"/>
  <c r="G40" i="149"/>
  <c r="E57" i="149"/>
  <c r="E66" i="149"/>
  <c r="E36" i="148"/>
  <c r="E40" i="148" s="1"/>
  <c r="E37" i="148"/>
  <c r="E41" i="148" s="1"/>
  <c r="G41" i="148" s="1"/>
  <c r="G40" i="147"/>
  <c r="E57" i="147"/>
  <c r="E66" i="147"/>
  <c r="E36" i="145"/>
  <c r="E40" i="145" s="1"/>
  <c r="E37" i="145"/>
  <c r="E41" i="145" s="1"/>
  <c r="G41" i="145" s="1"/>
  <c r="E37" i="146"/>
  <c r="E41" i="146" s="1"/>
  <c r="G41" i="146" s="1"/>
  <c r="E36" i="146"/>
  <c r="E40" i="146" s="1"/>
  <c r="H104" i="91" a="1"/>
  <c r="H106" i="91" a="1"/>
  <c r="H105" i="91" a="1"/>
  <c r="J91" i="91" a="1"/>
  <c r="H91" i="91" a="1"/>
  <c r="J90" i="91" a="1"/>
  <c r="H90" i="91" a="1"/>
  <c r="J89" i="91" a="1"/>
  <c r="H89" i="91" a="1"/>
  <c r="J106" i="91" a="1"/>
  <c r="J104" i="91" a="1"/>
  <c r="J105" i="91" a="1"/>
  <c r="C51" i="82"/>
  <c r="F59" i="82"/>
  <c r="D59" i="82"/>
  <c r="B48" i="76"/>
  <c r="E66" i="150" l="1"/>
  <c r="G40" i="150"/>
  <c r="E57" i="150"/>
  <c r="E66" i="148"/>
  <c r="G40" i="148"/>
  <c r="E57" i="148"/>
  <c r="G40" i="145"/>
  <c r="E66" i="145"/>
  <c r="E57" i="145"/>
  <c r="G40" i="146"/>
  <c r="E66" i="146"/>
  <c r="E57" i="146"/>
  <c r="B43" i="82"/>
  <c r="D3" i="82"/>
  <c r="D2" i="82"/>
  <c r="B15" i="76"/>
  <c r="T15" i="76" s="1"/>
  <c r="A6" i="84"/>
  <c r="A7" i="84" s="1"/>
  <c r="B5" i="84"/>
  <c r="B2" i="80"/>
  <c r="B1" i="80"/>
  <c r="B5" i="65"/>
  <c r="AF15" i="76"/>
  <c r="B16" i="76" l="1"/>
  <c r="T16" i="76" s="1"/>
  <c r="A8" i="84"/>
  <c r="V15" i="76"/>
  <c r="AD15" i="76"/>
  <c r="X15" i="76"/>
  <c r="D15" i="76"/>
  <c r="AP15" i="76"/>
  <c r="D14" i="76"/>
  <c r="E15" i="76"/>
  <c r="AQ15" i="76"/>
  <c r="AI15" i="76"/>
  <c r="AE15" i="76"/>
  <c r="U15" i="76"/>
  <c r="AJ15" i="76"/>
  <c r="W15" i="76" l="1"/>
  <c r="F15" i="76" s="1"/>
  <c r="J15" i="76"/>
  <c r="I15" i="76"/>
  <c r="B17" i="76"/>
  <c r="T17" i="76" s="1"/>
  <c r="A9" i="84"/>
  <c r="E16" i="76"/>
  <c r="V16" i="76"/>
  <c r="Z15" i="76"/>
  <c r="AQ16" i="76"/>
  <c r="X16" i="76"/>
  <c r="AP16" i="76"/>
  <c r="D16" i="76"/>
  <c r="AF16" i="76"/>
  <c r="U16" i="76"/>
  <c r="AI16" i="76"/>
  <c r="AE16" i="76"/>
  <c r="AA15" i="76"/>
  <c r="G15" i="76"/>
  <c r="AY15" i="76"/>
  <c r="AJ16" i="76"/>
  <c r="AZ15" i="76" l="1"/>
  <c r="BA15" i="76"/>
  <c r="AC15" i="76" a="1"/>
  <c r="W16" i="76"/>
  <c r="F16" i="76" s="1"/>
  <c r="AD16" i="76"/>
  <c r="AB15" i="76" a="1"/>
  <c r="H15" i="76"/>
  <c r="BC15" i="76" s="1"/>
  <c r="J16" i="76"/>
  <c r="I16" i="76"/>
  <c r="B18" i="76"/>
  <c r="T18" i="76" s="1"/>
  <c r="B7" i="84"/>
  <c r="B6" i="84"/>
  <c r="B8" i="84"/>
  <c r="B9" i="84"/>
  <c r="I9" i="84" s="1"/>
  <c r="A10" i="84"/>
  <c r="I3" i="82"/>
  <c r="U17" i="76"/>
  <c r="AQ17" i="76"/>
  <c r="Z16" i="76"/>
  <c r="AF17" i="76"/>
  <c r="AE17" i="76"/>
  <c r="AY16" i="76"/>
  <c r="G16" i="76"/>
  <c r="X17" i="76"/>
  <c r="V17" i="76"/>
  <c r="D17" i="76"/>
  <c r="AJ17" i="76"/>
  <c r="E17" i="76"/>
  <c r="AI17" i="76"/>
  <c r="AP17" i="76"/>
  <c r="AA16" i="76"/>
  <c r="AC16" i="76" l="1" a="1"/>
  <c r="AZ16" i="76"/>
  <c r="AK17" i="76"/>
  <c r="BA16" i="76"/>
  <c r="W17" i="76"/>
  <c r="F17" i="76" s="1"/>
  <c r="BB15" i="76"/>
  <c r="AB16" i="76" a="1"/>
  <c r="H16" i="76"/>
  <c r="BC16" i="76" s="1"/>
  <c r="I17" i="76"/>
  <c r="AR17" i="76"/>
  <c r="J17" i="76"/>
  <c r="B19" i="76"/>
  <c r="T19" i="76" s="1"/>
  <c r="B10" i="84"/>
  <c r="I10" i="84" s="1"/>
  <c r="A11" i="84"/>
  <c r="D18" i="82" a="1"/>
  <c r="U18" i="76"/>
  <c r="X18" i="76"/>
  <c r="AY17" i="76"/>
  <c r="AD17" i="76"/>
  <c r="AA17" i="76"/>
  <c r="Z17" i="76"/>
  <c r="E18" i="76"/>
  <c r="AJ18" i="76"/>
  <c r="AI18" i="76"/>
  <c r="AE18" i="76"/>
  <c r="G17" i="76"/>
  <c r="AQ18" i="76"/>
  <c r="AF18" i="76"/>
  <c r="V18" i="76"/>
  <c r="D18" i="76"/>
  <c r="AP18" i="76"/>
  <c r="AC17" i="76" l="1" a="1"/>
  <c r="AZ17" i="76"/>
  <c r="BA17" i="76"/>
  <c r="AK18" i="76"/>
  <c r="W18" i="76"/>
  <c r="F18" i="76" s="1"/>
  <c r="BB16" i="76"/>
  <c r="H17" i="76"/>
  <c r="BC17" i="76" s="1"/>
  <c r="AB17" i="76" a="1"/>
  <c r="I18" i="76"/>
  <c r="AR18" i="76"/>
  <c r="J18" i="76"/>
  <c r="L17" i="76"/>
  <c r="K17" i="76"/>
  <c r="B11" i="84"/>
  <c r="I11" i="84" s="1"/>
  <c r="A12" i="84"/>
  <c r="G18" i="76"/>
  <c r="AJ19" i="76"/>
  <c r="AI19" i="76"/>
  <c r="AD18" i="76"/>
  <c r="AA18" i="76"/>
  <c r="Z18" i="76"/>
  <c r="X19" i="76"/>
  <c r="U19" i="76"/>
  <c r="AQ19" i="76"/>
  <c r="AF19" i="76"/>
  <c r="AY18" i="76"/>
  <c r="AP19" i="76"/>
  <c r="AE19" i="76"/>
  <c r="E19" i="76"/>
  <c r="V19" i="76"/>
  <c r="AZ18" i="76" l="1"/>
  <c r="AC18" i="76" a="1"/>
  <c r="BA18" i="76"/>
  <c r="AK19" i="76"/>
  <c r="W19" i="76"/>
  <c r="F19" i="76" s="1"/>
  <c r="BB17" i="76"/>
  <c r="H18" i="76"/>
  <c r="BC18" i="76" s="1"/>
  <c r="AB18" i="76" a="1"/>
  <c r="I19" i="76"/>
  <c r="AR19" i="76"/>
  <c r="J19" i="76"/>
  <c r="L18" i="76"/>
  <c r="K18" i="76"/>
  <c r="A13" i="84"/>
  <c r="B12" i="84"/>
  <c r="I12" i="84" s="1"/>
  <c r="C16" i="76"/>
  <c r="AD19" i="76"/>
  <c r="D19" i="76"/>
  <c r="AA19" i="76"/>
  <c r="G19" i="76"/>
  <c r="AY19" i="76"/>
  <c r="Z19" i="76"/>
  <c r="C15" i="76"/>
  <c r="AC19" i="76" l="1" a="1"/>
  <c r="BA19" i="76"/>
  <c r="AZ19" i="76"/>
  <c r="AZ20" i="76" s="1"/>
  <c r="BB18" i="76"/>
  <c r="AB19" i="76" a="1"/>
  <c r="H19" i="76"/>
  <c r="BC19" i="76" s="1"/>
  <c r="L19" i="76"/>
  <c r="K19" i="76"/>
  <c r="A14" i="84"/>
  <c r="B13" i="84"/>
  <c r="I13" i="84" s="1"/>
  <c r="C19" i="76"/>
  <c r="C17" i="76"/>
  <c r="C18" i="76"/>
  <c r="BB19" i="76" l="1"/>
  <c r="BB20" i="76" s="1"/>
  <c r="A15" i="84"/>
  <c r="B14" i="84"/>
  <c r="I14" i="84" s="1"/>
  <c r="A16" i="84" l="1"/>
  <c r="B15" i="84"/>
  <c r="I15" i="84" s="1"/>
  <c r="B16" i="84" l="1"/>
  <c r="I16" i="84" s="1"/>
  <c r="A17" i="84"/>
  <c r="B17" i="84" l="1"/>
  <c r="I17" i="84" s="1"/>
  <c r="A18" i="84"/>
  <c r="AQ20" i="76" l="1"/>
  <c r="AJ20" i="76"/>
  <c r="AP20" i="76"/>
  <c r="I20" i="76"/>
  <c r="AI20" i="76"/>
  <c r="J20" i="76"/>
  <c r="D20" i="76"/>
  <c r="B18" i="84"/>
  <c r="I18" i="84" s="1"/>
  <c r="A19" i="84"/>
  <c r="B19" i="84" l="1"/>
  <c r="I19" i="84" s="1"/>
  <c r="A20" i="84"/>
  <c r="A6" i="65"/>
  <c r="A7" i="65" s="1"/>
  <c r="A21" i="84" l="1"/>
  <c r="B20" i="84"/>
  <c r="I20" i="84" s="1"/>
  <c r="B6" i="65"/>
  <c r="B7" i="65"/>
  <c r="A8" i="65"/>
  <c r="BA20" i="76" l="1"/>
  <c r="AY20" i="76"/>
  <c r="B62" i="76" s="1"/>
  <c r="C62" i="76" s="1"/>
  <c r="I7" i="84"/>
  <c r="I7" i="65"/>
  <c r="A22" i="84"/>
  <c r="B21" i="84"/>
  <c r="I21" i="84" s="1"/>
  <c r="A9" i="65"/>
  <c r="B8" i="65"/>
  <c r="B63" i="76" l="1"/>
  <c r="C63" i="76" s="1"/>
  <c r="B64" i="76"/>
  <c r="A23" i="84"/>
  <c r="B22" i="84"/>
  <c r="I22" i="84" s="1"/>
  <c r="A10" i="65"/>
  <c r="A11" i="65" s="1"/>
  <c r="B9" i="65"/>
  <c r="I9" i="65" s="1"/>
  <c r="B23" i="84" l="1"/>
  <c r="I23" i="84" s="1"/>
  <c r="A24" i="84"/>
  <c r="B11" i="65"/>
  <c r="I11" i="65" s="1"/>
  <c r="A12" i="65"/>
  <c r="B10" i="65"/>
  <c r="I10" i="65" s="1"/>
  <c r="A25" i="84" l="1"/>
  <c r="B24" i="84"/>
  <c r="I24" i="84" s="1"/>
  <c r="B12" i="65"/>
  <c r="I12" i="65" s="1"/>
  <c r="A13" i="65"/>
  <c r="A26" i="84" l="1"/>
  <c r="B25" i="84"/>
  <c r="I25" i="84" s="1"/>
  <c r="B13" i="65"/>
  <c r="I13" i="65" s="1"/>
  <c r="A14" i="65"/>
  <c r="B26" i="84" l="1"/>
  <c r="I26" i="84" s="1"/>
  <c r="A27" i="84"/>
  <c r="B14" i="65"/>
  <c r="I14" i="65" s="1"/>
  <c r="A15" i="65"/>
  <c r="B27" i="84" l="1"/>
  <c r="I27" i="84" s="1"/>
  <c r="A28" i="84"/>
  <c r="B15" i="65"/>
  <c r="I15" i="65" s="1"/>
  <c r="A16" i="65"/>
  <c r="B28" i="84" l="1"/>
  <c r="I28" i="84" s="1"/>
  <c r="A29" i="84"/>
  <c r="B16" i="65"/>
  <c r="I16" i="65" s="1"/>
  <c r="A17" i="65"/>
  <c r="B29" i="84" l="1"/>
  <c r="I29" i="84" s="1"/>
  <c r="A30" i="84"/>
  <c r="B17" i="65"/>
  <c r="I17" i="65" s="1"/>
  <c r="A18" i="65"/>
  <c r="B30" i="84" l="1"/>
  <c r="I30" i="84" s="1"/>
  <c r="A31" i="84"/>
  <c r="A19" i="65"/>
  <c r="B18" i="65"/>
  <c r="I18" i="65" s="1"/>
  <c r="B31" i="84" l="1"/>
  <c r="I31" i="84" s="1"/>
  <c r="A32" i="84"/>
  <c r="A20" i="65"/>
  <c r="B19" i="65"/>
  <c r="I19" i="65" s="1"/>
  <c r="A33" i="84" l="1"/>
  <c r="B32" i="84"/>
  <c r="I32" i="84" s="1"/>
  <c r="A21" i="65"/>
  <c r="B20" i="65"/>
  <c r="I20" i="65" s="1"/>
  <c r="A34" i="84" l="1"/>
  <c r="B33" i="84"/>
  <c r="I33" i="84" s="1"/>
  <c r="A22" i="65"/>
  <c r="B21" i="65"/>
  <c r="I21" i="65" s="1"/>
  <c r="B34" i="84" l="1"/>
  <c r="I34" i="84" s="1"/>
  <c r="A35" i="84"/>
  <c r="B22" i="65"/>
  <c r="I22" i="65" s="1"/>
  <c r="A23" i="65"/>
  <c r="B35" i="84" l="1"/>
  <c r="I35" i="84" s="1"/>
  <c r="A36" i="84"/>
  <c r="B23" i="65"/>
  <c r="I23" i="65" s="1"/>
  <c r="A24" i="65"/>
  <c r="B36" i="84" l="1"/>
  <c r="A37" i="84"/>
  <c r="B24" i="65"/>
  <c r="I24" i="65" s="1"/>
  <c r="A25" i="65"/>
  <c r="I36" i="84" l="1"/>
  <c r="L36" i="84"/>
  <c r="C36" i="84"/>
  <c r="B37" i="84"/>
  <c r="A38" i="84"/>
  <c r="A26" i="65"/>
  <c r="B25" i="65"/>
  <c r="I25" i="65" s="1"/>
  <c r="I37" i="84" l="1"/>
  <c r="L37" i="84"/>
  <c r="C37" i="84"/>
  <c r="B38" i="84"/>
  <c r="A39" i="84"/>
  <c r="B26" i="65"/>
  <c r="I26" i="65" s="1"/>
  <c r="A27" i="65"/>
  <c r="I38" i="84" l="1"/>
  <c r="L38" i="84"/>
  <c r="C38" i="84"/>
  <c r="B39" i="84"/>
  <c r="A40" i="84"/>
  <c r="B27" i="65"/>
  <c r="I27" i="65" s="1"/>
  <c r="A28" i="65"/>
  <c r="I39" i="84" l="1"/>
  <c r="L39" i="84"/>
  <c r="C39" i="84"/>
  <c r="A41" i="84"/>
  <c r="B40" i="84"/>
  <c r="B28" i="65"/>
  <c r="I28" i="65" s="1"/>
  <c r="A29" i="65"/>
  <c r="I40" i="84" l="1"/>
  <c r="L40" i="84"/>
  <c r="C40" i="84"/>
  <c r="A42" i="84"/>
  <c r="B41" i="84"/>
  <c r="B29" i="65"/>
  <c r="I29" i="65" s="1"/>
  <c r="A30" i="65"/>
  <c r="I41" i="84" l="1"/>
  <c r="L41" i="84"/>
  <c r="B42" i="84"/>
  <c r="A43" i="84"/>
  <c r="C41" i="84"/>
  <c r="A31" i="65"/>
  <c r="B30" i="65"/>
  <c r="I30" i="65" s="1"/>
  <c r="I42" i="84" l="1"/>
  <c r="L42" i="84"/>
  <c r="B43" i="84"/>
  <c r="A44" i="84"/>
  <c r="C42" i="84"/>
  <c r="A32" i="65"/>
  <c r="B31" i="65"/>
  <c r="I31" i="65" s="1"/>
  <c r="I43" i="84" l="1"/>
  <c r="L43" i="84"/>
  <c r="B44" i="84"/>
  <c r="A45" i="84"/>
  <c r="C43" i="84"/>
  <c r="A33" i="65"/>
  <c r="B32" i="65"/>
  <c r="I32" i="65" s="1"/>
  <c r="I44" i="84" l="1"/>
  <c r="L44" i="84"/>
  <c r="C44" i="84"/>
  <c r="B45" i="84"/>
  <c r="A46" i="84"/>
  <c r="B33" i="65"/>
  <c r="I33" i="65" s="1"/>
  <c r="A34" i="65"/>
  <c r="I45" i="84" l="1"/>
  <c r="L45" i="84"/>
  <c r="C45" i="84"/>
  <c r="B46" i="84"/>
  <c r="A47" i="84"/>
  <c r="B34" i="65"/>
  <c r="I34" i="65" s="1"/>
  <c r="A35" i="65"/>
  <c r="I46" i="84" l="1"/>
  <c r="L46" i="84"/>
  <c r="C46" i="84"/>
  <c r="B47" i="84"/>
  <c r="A48" i="84"/>
  <c r="B35" i="65"/>
  <c r="I35" i="65" s="1"/>
  <c r="A36" i="65"/>
  <c r="I47" i="84" l="1"/>
  <c r="L47" i="84"/>
  <c r="A49" i="84"/>
  <c r="B48" i="84"/>
  <c r="C47" i="84"/>
  <c r="B36" i="65"/>
  <c r="A37" i="65"/>
  <c r="I48" i="84" l="1"/>
  <c r="L48" i="84"/>
  <c r="I36" i="65"/>
  <c r="L36" i="65"/>
  <c r="A50" i="84"/>
  <c r="B49" i="84"/>
  <c r="C48" i="84"/>
  <c r="C36" i="65"/>
  <c r="B37" i="65"/>
  <c r="A38" i="65"/>
  <c r="I49" i="84" l="1"/>
  <c r="L49" i="84"/>
  <c r="I37" i="65"/>
  <c r="L37" i="65"/>
  <c r="C49" i="84"/>
  <c r="B50" i="84"/>
  <c r="A51" i="84"/>
  <c r="C37" i="65"/>
  <c r="B38" i="65"/>
  <c r="A39" i="65"/>
  <c r="I50" i="84" l="1"/>
  <c r="L50" i="84"/>
  <c r="I38" i="65"/>
  <c r="L38" i="65"/>
  <c r="C50" i="84"/>
  <c r="B51" i="84"/>
  <c r="A52" i="84"/>
  <c r="C38" i="65"/>
  <c r="B39" i="65"/>
  <c r="A40" i="65"/>
  <c r="I51" i="84" l="1"/>
  <c r="L51" i="84"/>
  <c r="I39" i="65"/>
  <c r="L39" i="65"/>
  <c r="C51" i="84"/>
  <c r="B52" i="84"/>
  <c r="A53" i="84"/>
  <c r="C39" i="65"/>
  <c r="B40" i="65"/>
  <c r="A41" i="65"/>
  <c r="I52" i="84" l="1"/>
  <c r="L52" i="84"/>
  <c r="I40" i="65"/>
  <c r="L40" i="65"/>
  <c r="C52" i="84"/>
  <c r="B53" i="84"/>
  <c r="A54" i="84"/>
  <c r="C40" i="65"/>
  <c r="B41" i="65"/>
  <c r="A42" i="65"/>
  <c r="I53" i="84" l="1"/>
  <c r="L53" i="84"/>
  <c r="I41" i="65"/>
  <c r="L41" i="65"/>
  <c r="C53" i="84"/>
  <c r="B54" i="84"/>
  <c r="A55" i="84"/>
  <c r="C41" i="65"/>
  <c r="B42" i="65"/>
  <c r="A43" i="65"/>
  <c r="I54" i="84" l="1"/>
  <c r="L54" i="84"/>
  <c r="I42" i="65"/>
  <c r="L42" i="65"/>
  <c r="C54" i="84"/>
  <c r="B55" i="84"/>
  <c r="A56" i="84"/>
  <c r="C42" i="65"/>
  <c r="B43" i="65"/>
  <c r="A44" i="65"/>
  <c r="I55" i="84" l="1"/>
  <c r="L55" i="84"/>
  <c r="I43" i="65"/>
  <c r="L43" i="65"/>
  <c r="P36" i="84"/>
  <c r="Q36" i="84"/>
  <c r="A57" i="84"/>
  <c r="B56" i="84"/>
  <c r="C55" i="84"/>
  <c r="C43" i="65"/>
  <c r="B44" i="65"/>
  <c r="A45" i="65"/>
  <c r="I56" i="84" l="1"/>
  <c r="L56" i="84"/>
  <c r="I44" i="65"/>
  <c r="L44" i="65"/>
  <c r="P37" i="84"/>
  <c r="Q37" i="84"/>
  <c r="A58" i="84"/>
  <c r="B57" i="84"/>
  <c r="C56" i="84"/>
  <c r="C44" i="65"/>
  <c r="B45" i="65"/>
  <c r="A46" i="65"/>
  <c r="I57" i="84" l="1"/>
  <c r="L57" i="84"/>
  <c r="I45" i="65"/>
  <c r="L45" i="65"/>
  <c r="P38" i="84"/>
  <c r="Q38" i="84"/>
  <c r="C57" i="84"/>
  <c r="B58" i="84"/>
  <c r="A59" i="84"/>
  <c r="C45" i="65"/>
  <c r="A47" i="65"/>
  <c r="B46" i="65"/>
  <c r="I58" i="84" l="1"/>
  <c r="L58" i="84"/>
  <c r="I46" i="65"/>
  <c r="L46" i="65"/>
  <c r="P39" i="84"/>
  <c r="Q39" i="84"/>
  <c r="B59" i="84"/>
  <c r="A60" i="84"/>
  <c r="C58" i="84"/>
  <c r="C46" i="65"/>
  <c r="A48" i="65"/>
  <c r="B47" i="65"/>
  <c r="I59" i="84" l="1"/>
  <c r="L59" i="84"/>
  <c r="I47" i="65"/>
  <c r="L47" i="65"/>
  <c r="Q40" i="84"/>
  <c r="P40" i="84"/>
  <c r="B60" i="84"/>
  <c r="A61" i="84"/>
  <c r="C59" i="84"/>
  <c r="C47" i="65"/>
  <c r="A49" i="65"/>
  <c r="B48" i="65"/>
  <c r="I60" i="84" l="1"/>
  <c r="L60" i="84"/>
  <c r="I48" i="65"/>
  <c r="L48" i="65"/>
  <c r="Q41" i="84"/>
  <c r="P41" i="84"/>
  <c r="B61" i="84"/>
  <c r="A62" i="84"/>
  <c r="C60" i="84"/>
  <c r="C48" i="65"/>
  <c r="B49" i="65"/>
  <c r="A50" i="65"/>
  <c r="I61" i="84" l="1"/>
  <c r="L61" i="84"/>
  <c r="I49" i="65"/>
  <c r="L49" i="65"/>
  <c r="P42" i="84"/>
  <c r="Q42" i="84"/>
  <c r="A63" i="84"/>
  <c r="B62" i="84"/>
  <c r="C61" i="84"/>
  <c r="C49" i="65"/>
  <c r="B50" i="65"/>
  <c r="A51" i="65"/>
  <c r="I62" i="84" l="1"/>
  <c r="L62" i="84"/>
  <c r="I50" i="65"/>
  <c r="L50" i="65"/>
  <c r="Q43" i="84"/>
  <c r="P43" i="84"/>
  <c r="B63" i="84"/>
  <c r="A64" i="84"/>
  <c r="C62" i="84"/>
  <c r="C50" i="65"/>
  <c r="B51" i="65"/>
  <c r="A52" i="65"/>
  <c r="I63" i="84" l="1"/>
  <c r="L63" i="84"/>
  <c r="I51" i="65"/>
  <c r="L51" i="65"/>
  <c r="P44" i="84"/>
  <c r="Q44" i="84"/>
  <c r="B64" i="84"/>
  <c r="A65" i="84"/>
  <c r="C63" i="84"/>
  <c r="C51" i="65"/>
  <c r="A53" i="65"/>
  <c r="B52" i="65"/>
  <c r="I64" i="84" l="1"/>
  <c r="L64" i="84"/>
  <c r="I52" i="65"/>
  <c r="L52" i="65"/>
  <c r="Q45" i="84"/>
  <c r="P45" i="84"/>
  <c r="A66" i="84"/>
  <c r="B65" i="84"/>
  <c r="C64" i="84"/>
  <c r="C52" i="65"/>
  <c r="A54" i="65"/>
  <c r="B53" i="65"/>
  <c r="I65" i="84" l="1"/>
  <c r="L65" i="84"/>
  <c r="I53" i="65"/>
  <c r="L53" i="65"/>
  <c r="P46" i="84"/>
  <c r="Q46" i="84"/>
  <c r="A67" i="84"/>
  <c r="B66" i="84"/>
  <c r="C65" i="84"/>
  <c r="C53" i="65"/>
  <c r="B54" i="65"/>
  <c r="A55" i="65"/>
  <c r="I66" i="84" l="1"/>
  <c r="L66" i="84"/>
  <c r="I54" i="65"/>
  <c r="L54" i="65"/>
  <c r="Q47" i="84"/>
  <c r="P47" i="84"/>
  <c r="A68" i="84"/>
  <c r="B67" i="84"/>
  <c r="C66" i="84"/>
  <c r="C54" i="65"/>
  <c r="B55" i="65"/>
  <c r="A56" i="65"/>
  <c r="I67" i="84" l="1"/>
  <c r="L67" i="84"/>
  <c r="I55" i="65"/>
  <c r="L55" i="65"/>
  <c r="P48" i="84"/>
  <c r="Q48" i="84"/>
  <c r="C67" i="84"/>
  <c r="B68" i="84"/>
  <c r="A69" i="84"/>
  <c r="C55" i="65"/>
  <c r="B56" i="65"/>
  <c r="A57" i="65"/>
  <c r="I68" i="84" l="1"/>
  <c r="L68" i="84"/>
  <c r="I56" i="65"/>
  <c r="L56" i="65"/>
  <c r="P49" i="84"/>
  <c r="Q49" i="84"/>
  <c r="B69" i="84"/>
  <c r="A70" i="84"/>
  <c r="C68" i="84"/>
  <c r="C56" i="65"/>
  <c r="A58" i="65"/>
  <c r="B57" i="65"/>
  <c r="I69" i="84" l="1"/>
  <c r="L69" i="84"/>
  <c r="I57" i="65"/>
  <c r="L57" i="65"/>
  <c r="Q50" i="84"/>
  <c r="P50" i="84"/>
  <c r="B70" i="84"/>
  <c r="A71" i="84"/>
  <c r="C69" i="84"/>
  <c r="C57" i="65"/>
  <c r="B58" i="65"/>
  <c r="A59" i="65"/>
  <c r="I70" i="84" l="1"/>
  <c r="L70" i="84"/>
  <c r="I58" i="65"/>
  <c r="L58" i="65"/>
  <c r="Q51" i="84"/>
  <c r="P51" i="84"/>
  <c r="C70" i="84"/>
  <c r="B71" i="84"/>
  <c r="A72" i="84"/>
  <c r="C58" i="65"/>
  <c r="B59" i="65"/>
  <c r="A60" i="65"/>
  <c r="I71" i="84" l="1"/>
  <c r="L71" i="84"/>
  <c r="I59" i="65"/>
  <c r="L59" i="65"/>
  <c r="P52" i="84"/>
  <c r="Q52" i="84"/>
  <c r="B72" i="84"/>
  <c r="A73" i="84"/>
  <c r="C71" i="84"/>
  <c r="C59" i="65"/>
  <c r="B60" i="65"/>
  <c r="A61" i="65"/>
  <c r="I72" i="84" l="1"/>
  <c r="L72" i="84"/>
  <c r="I60" i="65"/>
  <c r="L60" i="65"/>
  <c r="Q53" i="84"/>
  <c r="P53" i="84"/>
  <c r="B73" i="84"/>
  <c r="A74" i="84"/>
  <c r="C72" i="84"/>
  <c r="C60" i="65"/>
  <c r="B61" i="65"/>
  <c r="A62" i="65"/>
  <c r="I73" i="84" l="1"/>
  <c r="L73" i="84"/>
  <c r="I61" i="65"/>
  <c r="L61" i="65"/>
  <c r="P54" i="84"/>
  <c r="Q54" i="84"/>
  <c r="C73" i="84"/>
  <c r="A75" i="84"/>
  <c r="B74" i="84"/>
  <c r="C61" i="65"/>
  <c r="B62" i="65"/>
  <c r="A63" i="65"/>
  <c r="I74" i="84" l="1"/>
  <c r="L74" i="84"/>
  <c r="I62" i="65"/>
  <c r="L62" i="65"/>
  <c r="Q55" i="84"/>
  <c r="P55" i="84"/>
  <c r="C74" i="84"/>
  <c r="A76" i="84"/>
  <c r="B75" i="84"/>
  <c r="C62" i="65"/>
  <c r="B63" i="65"/>
  <c r="A64" i="65"/>
  <c r="I75" i="84" l="1"/>
  <c r="L75" i="84"/>
  <c r="I63" i="65"/>
  <c r="L63" i="65"/>
  <c r="P56" i="84"/>
  <c r="Q56" i="84"/>
  <c r="C75" i="84"/>
  <c r="B76" i="84"/>
  <c r="A77" i="84"/>
  <c r="C63" i="65"/>
  <c r="A65" i="65"/>
  <c r="B64" i="65"/>
  <c r="I76" i="84" l="1"/>
  <c r="L76" i="84"/>
  <c r="I64" i="65"/>
  <c r="L64" i="65"/>
  <c r="Q57" i="84"/>
  <c r="P57" i="84"/>
  <c r="B77" i="84"/>
  <c r="A78" i="84"/>
  <c r="C76" i="84"/>
  <c r="C64" i="65"/>
  <c r="A66" i="65"/>
  <c r="B65" i="65"/>
  <c r="I77" i="84" l="1"/>
  <c r="L77" i="84"/>
  <c r="I65" i="65"/>
  <c r="L65" i="65"/>
  <c r="P58" i="84"/>
  <c r="Q58" i="84"/>
  <c r="B78" i="84"/>
  <c r="A79" i="84"/>
  <c r="C77" i="84"/>
  <c r="C65" i="65"/>
  <c r="A67" i="65"/>
  <c r="B66" i="65"/>
  <c r="I78" i="84" l="1"/>
  <c r="L78" i="84"/>
  <c r="I66" i="65"/>
  <c r="L66" i="65"/>
  <c r="P59" i="84"/>
  <c r="Q59" i="84"/>
  <c r="B79" i="84"/>
  <c r="A80" i="84"/>
  <c r="C78" i="84"/>
  <c r="C66" i="65"/>
  <c r="B67" i="65"/>
  <c r="A68" i="65"/>
  <c r="I79" i="84" l="1"/>
  <c r="L79" i="84"/>
  <c r="I67" i="65"/>
  <c r="L67" i="65"/>
  <c r="Q60" i="84"/>
  <c r="P60" i="84"/>
  <c r="C79" i="84"/>
  <c r="B80" i="84"/>
  <c r="A81" i="84"/>
  <c r="C67" i="65"/>
  <c r="B68" i="65"/>
  <c r="A69" i="65"/>
  <c r="Q36" i="65"/>
  <c r="P36" i="65"/>
  <c r="I80" i="84" l="1"/>
  <c r="L80" i="84"/>
  <c r="I68" i="65"/>
  <c r="L68" i="65"/>
  <c r="P61" i="84"/>
  <c r="Q61" i="84"/>
  <c r="C80" i="84"/>
  <c r="B81" i="84"/>
  <c r="A82" i="84"/>
  <c r="C68" i="65"/>
  <c r="B69" i="65"/>
  <c r="A70" i="65"/>
  <c r="P37" i="65"/>
  <c r="Q37" i="65"/>
  <c r="I81" i="84" l="1"/>
  <c r="L81" i="84"/>
  <c r="I69" i="65"/>
  <c r="L69" i="65"/>
  <c r="Q62" i="84"/>
  <c r="P62" i="84"/>
  <c r="C81" i="84"/>
  <c r="A83" i="84"/>
  <c r="B82" i="84"/>
  <c r="C69" i="65"/>
  <c r="A71" i="65"/>
  <c r="B70" i="65"/>
  <c r="P38" i="65"/>
  <c r="Q38" i="65"/>
  <c r="I82" i="84" l="1"/>
  <c r="L82" i="84"/>
  <c r="I70" i="65"/>
  <c r="L70" i="65"/>
  <c r="Q63" i="84"/>
  <c r="P63" i="84"/>
  <c r="C82" i="84"/>
  <c r="A84" i="84"/>
  <c r="B83" i="84"/>
  <c r="C70" i="65"/>
  <c r="A72" i="65"/>
  <c r="B71" i="65"/>
  <c r="Q39" i="65"/>
  <c r="P39" i="65"/>
  <c r="I83" i="84" l="1"/>
  <c r="L83" i="84"/>
  <c r="I71" i="65"/>
  <c r="L71" i="65"/>
  <c r="Q64" i="84"/>
  <c r="P64" i="84"/>
  <c r="C83" i="84"/>
  <c r="B84" i="84"/>
  <c r="A85" i="84"/>
  <c r="C71" i="65"/>
  <c r="B72" i="65"/>
  <c r="A73" i="65"/>
  <c r="P40" i="65"/>
  <c r="Q40" i="65"/>
  <c r="I84" i="84" l="1"/>
  <c r="L84" i="84"/>
  <c r="I72" i="65"/>
  <c r="L72" i="65"/>
  <c r="P65" i="84"/>
  <c r="Q65" i="84"/>
  <c r="B85" i="84"/>
  <c r="A86" i="84"/>
  <c r="C84" i="84"/>
  <c r="C72" i="65"/>
  <c r="B73" i="65"/>
  <c r="A74" i="65"/>
  <c r="Q41" i="65"/>
  <c r="P41" i="65"/>
  <c r="I85" i="84" l="1"/>
  <c r="L85" i="84"/>
  <c r="I73" i="65"/>
  <c r="L73" i="65"/>
  <c r="P66" i="84"/>
  <c r="Q66" i="84"/>
  <c r="B86" i="84"/>
  <c r="A87" i="84"/>
  <c r="C85" i="84"/>
  <c r="C73" i="65"/>
  <c r="B74" i="65"/>
  <c r="A75" i="65"/>
  <c r="P42" i="65"/>
  <c r="Q42" i="65"/>
  <c r="I86" i="84" l="1"/>
  <c r="L86" i="84"/>
  <c r="I74" i="65"/>
  <c r="L74" i="65"/>
  <c r="P67" i="84"/>
  <c r="Q67" i="84"/>
  <c r="B87" i="84"/>
  <c r="A88" i="84"/>
  <c r="C86" i="84"/>
  <c r="C74" i="65"/>
  <c r="B75" i="65"/>
  <c r="A76" i="65"/>
  <c r="Q43" i="65"/>
  <c r="P43" i="65"/>
  <c r="I87" i="84" l="1"/>
  <c r="L87" i="84"/>
  <c r="I75" i="65"/>
  <c r="L75" i="65"/>
  <c r="P68" i="84"/>
  <c r="Q68" i="84"/>
  <c r="B88" i="84"/>
  <c r="A89" i="84"/>
  <c r="C87" i="84"/>
  <c r="C75" i="65"/>
  <c r="A77" i="65"/>
  <c r="B76" i="65"/>
  <c r="Q44" i="65"/>
  <c r="P44" i="65"/>
  <c r="I88" i="84" l="1"/>
  <c r="L88" i="84"/>
  <c r="I76" i="65"/>
  <c r="L76" i="65"/>
  <c r="P69" i="84"/>
  <c r="Q69" i="84"/>
  <c r="B89" i="84"/>
  <c r="A90" i="84"/>
  <c r="C88" i="84"/>
  <c r="C76" i="65"/>
  <c r="A78" i="65"/>
  <c r="B77" i="65"/>
  <c r="P45" i="65"/>
  <c r="Q45" i="65"/>
  <c r="I89" i="84" l="1"/>
  <c r="L89" i="84"/>
  <c r="I77" i="65"/>
  <c r="L77" i="65"/>
  <c r="Q70" i="84"/>
  <c r="P70" i="84"/>
  <c r="A91" i="84"/>
  <c r="B90" i="84"/>
  <c r="C89" i="84"/>
  <c r="C77" i="65"/>
  <c r="B78" i="65"/>
  <c r="A79" i="65"/>
  <c r="P46" i="65"/>
  <c r="Q46" i="65"/>
  <c r="I90" i="84" l="1"/>
  <c r="L90" i="84"/>
  <c r="I78" i="65"/>
  <c r="L78" i="65"/>
  <c r="Q71" i="84"/>
  <c r="P71" i="84"/>
  <c r="A92" i="84"/>
  <c r="B91" i="84"/>
  <c r="C90" i="84"/>
  <c r="C78" i="65"/>
  <c r="B79" i="65"/>
  <c r="A80" i="65"/>
  <c r="Q47" i="65"/>
  <c r="P47" i="65"/>
  <c r="I91" i="84" l="1"/>
  <c r="L91" i="84"/>
  <c r="I79" i="65"/>
  <c r="L79" i="65"/>
  <c r="Q72" i="84"/>
  <c r="P72" i="84"/>
  <c r="C91" i="84"/>
  <c r="B92" i="84"/>
  <c r="A93" i="84"/>
  <c r="C79" i="65"/>
  <c r="A81" i="65"/>
  <c r="B80" i="65"/>
  <c r="P48" i="65"/>
  <c r="Q48" i="65"/>
  <c r="I92" i="84" l="1"/>
  <c r="L92" i="84"/>
  <c r="I80" i="65"/>
  <c r="L80" i="65"/>
  <c r="Q73" i="84"/>
  <c r="P73" i="84"/>
  <c r="B93" i="84"/>
  <c r="A94" i="84"/>
  <c r="C92" i="84"/>
  <c r="C80" i="65"/>
  <c r="B81" i="65"/>
  <c r="A82" i="65"/>
  <c r="P49" i="65"/>
  <c r="Q49" i="65"/>
  <c r="I93" i="84" l="1"/>
  <c r="L93" i="84"/>
  <c r="I81" i="65"/>
  <c r="L81" i="65"/>
  <c r="P74" i="84"/>
  <c r="Q74" i="84"/>
  <c r="C93" i="84"/>
  <c r="B94" i="84"/>
  <c r="A95" i="84"/>
  <c r="C81" i="65"/>
  <c r="A83" i="65"/>
  <c r="B82" i="65"/>
  <c r="Q50" i="65"/>
  <c r="P50" i="65"/>
  <c r="I94" i="84" l="1"/>
  <c r="L94" i="84"/>
  <c r="I82" i="65"/>
  <c r="L82" i="65"/>
  <c r="Q75" i="84"/>
  <c r="P75" i="84"/>
  <c r="B95" i="84"/>
  <c r="A96" i="84"/>
  <c r="C94" i="84"/>
  <c r="C82" i="65"/>
  <c r="A84" i="65"/>
  <c r="B83" i="65"/>
  <c r="P51" i="65"/>
  <c r="Q51" i="65"/>
  <c r="I95" i="84" l="1"/>
  <c r="L95" i="84"/>
  <c r="I83" i="65"/>
  <c r="L83" i="65"/>
  <c r="P76" i="84"/>
  <c r="Q76" i="84"/>
  <c r="B96" i="84"/>
  <c r="A97" i="84"/>
  <c r="C95" i="84"/>
  <c r="C83" i="65"/>
  <c r="A85" i="65"/>
  <c r="B84" i="65"/>
  <c r="P52" i="65"/>
  <c r="Q52" i="65"/>
  <c r="I96" i="84" l="1"/>
  <c r="L96" i="84"/>
  <c r="I84" i="65"/>
  <c r="L84" i="65"/>
  <c r="Q77" i="84"/>
  <c r="P77" i="84"/>
  <c r="B97" i="84"/>
  <c r="A98" i="84"/>
  <c r="C96" i="84"/>
  <c r="C84" i="65"/>
  <c r="A86" i="65"/>
  <c r="B85" i="65"/>
  <c r="P53" i="65"/>
  <c r="Q53" i="65"/>
  <c r="I97" i="84" l="1"/>
  <c r="L97" i="84"/>
  <c r="I85" i="65"/>
  <c r="L85" i="65"/>
  <c r="Q78" i="84"/>
  <c r="P78" i="84"/>
  <c r="A99" i="84"/>
  <c r="B98" i="84"/>
  <c r="C97" i="84"/>
  <c r="C85" i="65"/>
  <c r="B86" i="65"/>
  <c r="A87" i="65"/>
  <c r="P54" i="65"/>
  <c r="Q54" i="65"/>
  <c r="I98" i="84" l="1"/>
  <c r="L98" i="84"/>
  <c r="I86" i="65"/>
  <c r="L86" i="65"/>
  <c r="Q79" i="84"/>
  <c r="P79" i="84"/>
  <c r="A100" i="84"/>
  <c r="B99" i="84"/>
  <c r="C98" i="84"/>
  <c r="C86" i="65"/>
  <c r="B87" i="65"/>
  <c r="A88" i="65"/>
  <c r="P55" i="65"/>
  <c r="Q55" i="65"/>
  <c r="I99" i="84" l="1"/>
  <c r="L99" i="84"/>
  <c r="I87" i="65"/>
  <c r="L87" i="65"/>
  <c r="P80" i="84"/>
  <c r="Q80" i="84"/>
  <c r="B100" i="84"/>
  <c r="A101" i="84"/>
  <c r="C99" i="84"/>
  <c r="C87" i="65"/>
  <c r="A89" i="65"/>
  <c r="B88" i="65"/>
  <c r="Q56" i="65"/>
  <c r="P56" i="65"/>
  <c r="I100" i="84" l="1"/>
  <c r="L100" i="84"/>
  <c r="I88" i="65"/>
  <c r="L88" i="65"/>
  <c r="P81" i="84"/>
  <c r="Q81" i="84"/>
  <c r="B101" i="84"/>
  <c r="A102" i="84"/>
  <c r="C100" i="84"/>
  <c r="C88" i="65"/>
  <c r="B89" i="65"/>
  <c r="A90" i="65"/>
  <c r="P57" i="65"/>
  <c r="Q57" i="65"/>
  <c r="I101" i="84" l="1"/>
  <c r="L101" i="84"/>
  <c r="I89" i="65"/>
  <c r="L89" i="65"/>
  <c r="Q82" i="84"/>
  <c r="P82" i="84"/>
  <c r="B102" i="84"/>
  <c r="A103" i="84"/>
  <c r="C101" i="84"/>
  <c r="C89" i="65"/>
  <c r="A91" i="65"/>
  <c r="B90" i="65"/>
  <c r="P58" i="65"/>
  <c r="Q58" i="65"/>
  <c r="I102" i="84" l="1"/>
  <c r="L102" i="84"/>
  <c r="I90" i="65"/>
  <c r="L90" i="65"/>
  <c r="P83" i="84"/>
  <c r="Q83" i="84"/>
  <c r="B103" i="84"/>
  <c r="A104" i="84"/>
  <c r="C102" i="84"/>
  <c r="C90" i="65"/>
  <c r="A92" i="65"/>
  <c r="B91" i="65"/>
  <c r="P59" i="65"/>
  <c r="Q59" i="65"/>
  <c r="I103" i="84" l="1"/>
  <c r="L103" i="84"/>
  <c r="I91" i="65"/>
  <c r="L91" i="65"/>
  <c r="P84" i="84"/>
  <c r="Q84" i="84"/>
  <c r="B104" i="84"/>
  <c r="A105" i="84"/>
  <c r="B105" i="84" s="1"/>
  <c r="C103" i="84"/>
  <c r="C91" i="65"/>
  <c r="B92" i="65"/>
  <c r="A93" i="65"/>
  <c r="P60" i="65"/>
  <c r="Q60" i="65"/>
  <c r="I104" i="84" l="1"/>
  <c r="L104" i="84"/>
  <c r="I105" i="84"/>
  <c r="L105" i="84"/>
  <c r="I92" i="65"/>
  <c r="L92" i="65"/>
  <c r="P85" i="84"/>
  <c r="Q85" i="84"/>
  <c r="C105" i="84"/>
  <c r="C104" i="84"/>
  <c r="C92" i="65"/>
  <c r="B93" i="65"/>
  <c r="A94" i="65"/>
  <c r="P61" i="65"/>
  <c r="Q61" i="65"/>
  <c r="I93" i="65" l="1"/>
  <c r="L93" i="65"/>
  <c r="Q86" i="84"/>
  <c r="P86" i="84"/>
  <c r="C93" i="65"/>
  <c r="B94" i="65"/>
  <c r="A95" i="65"/>
  <c r="Q62" i="65"/>
  <c r="P62" i="65"/>
  <c r="I94" i="65" l="1"/>
  <c r="L94" i="65"/>
  <c r="P87" i="84"/>
  <c r="Q87" i="84"/>
  <c r="C94" i="65"/>
  <c r="A96" i="65"/>
  <c r="B95" i="65"/>
  <c r="P63" i="65"/>
  <c r="Q63" i="65"/>
  <c r="I95" i="65" l="1"/>
  <c r="L95" i="65"/>
  <c r="Q88" i="84"/>
  <c r="P88" i="84"/>
  <c r="C95" i="65"/>
  <c r="A97" i="65"/>
  <c r="B96" i="65"/>
  <c r="Q64" i="65"/>
  <c r="P64" i="65"/>
  <c r="I96" i="65" l="1"/>
  <c r="L96" i="65"/>
  <c r="Q89" i="84"/>
  <c r="P89" i="84"/>
  <c r="C96" i="65"/>
  <c r="B97" i="65"/>
  <c r="A98" i="65"/>
  <c r="P65" i="65"/>
  <c r="Q65" i="65"/>
  <c r="I97" i="65" l="1"/>
  <c r="L97" i="65"/>
  <c r="P90" i="84"/>
  <c r="Q90" i="84"/>
  <c r="C97" i="65"/>
  <c r="A99" i="65"/>
  <c r="B98" i="65"/>
  <c r="P66" i="65"/>
  <c r="Q66" i="65"/>
  <c r="I98" i="65" l="1"/>
  <c r="L98" i="65"/>
  <c r="Q91" i="84"/>
  <c r="P91" i="84"/>
  <c r="C98" i="65"/>
  <c r="B99" i="65"/>
  <c r="A100" i="65"/>
  <c r="P67" i="65"/>
  <c r="Q67" i="65"/>
  <c r="I99" i="65" l="1"/>
  <c r="L99" i="65"/>
  <c r="P92" i="84"/>
  <c r="Q92" i="84"/>
  <c r="C99" i="65"/>
  <c r="B100" i="65"/>
  <c r="A101" i="65"/>
  <c r="Q68" i="65"/>
  <c r="P68" i="65"/>
  <c r="I100" i="65" l="1"/>
  <c r="L100" i="65"/>
  <c r="Q93" i="84"/>
  <c r="P93" i="84"/>
  <c r="C100" i="65"/>
  <c r="A102" i="65"/>
  <c r="B101" i="65"/>
  <c r="Q69" i="65"/>
  <c r="P69" i="65"/>
  <c r="I101" i="65" l="1"/>
  <c r="L101" i="65"/>
  <c r="Q94" i="84"/>
  <c r="P94" i="84"/>
  <c r="C101" i="65"/>
  <c r="A103" i="65"/>
  <c r="B102" i="65"/>
  <c r="P70" i="65"/>
  <c r="Q70" i="65"/>
  <c r="I102" i="65" l="1"/>
  <c r="L102" i="65"/>
  <c r="Q95" i="84"/>
  <c r="P95" i="84"/>
  <c r="C102" i="65"/>
  <c r="B103" i="65"/>
  <c r="A104" i="65"/>
  <c r="P71" i="65"/>
  <c r="Q71" i="65"/>
  <c r="I103" i="65" l="1"/>
  <c r="L103" i="65"/>
  <c r="Q96" i="84"/>
  <c r="P96" i="84"/>
  <c r="C103" i="65"/>
  <c r="B104" i="65"/>
  <c r="A105" i="65"/>
  <c r="P72" i="65"/>
  <c r="Q72" i="65"/>
  <c r="I104" i="65" l="1"/>
  <c r="L104" i="65"/>
  <c r="P97" i="84"/>
  <c r="Q97" i="84"/>
  <c r="C104" i="65"/>
  <c r="B105" i="65"/>
  <c r="P73" i="65"/>
  <c r="Q73" i="65"/>
  <c r="I105" i="65" l="1"/>
  <c r="L105" i="65"/>
  <c r="Q98" i="84"/>
  <c r="P98" i="84"/>
  <c r="C105" i="65"/>
  <c r="P74" i="65"/>
  <c r="Q74" i="65"/>
  <c r="P99" i="84" l="1"/>
  <c r="Q99" i="84"/>
  <c r="P75" i="65"/>
  <c r="Q75" i="65"/>
  <c r="P100" i="84" l="1"/>
  <c r="Q100" i="84"/>
  <c r="P76" i="65"/>
  <c r="Q76" i="65"/>
  <c r="P101" i="84" l="1"/>
  <c r="Q101" i="84"/>
  <c r="Q77" i="65"/>
  <c r="P77" i="65"/>
  <c r="P102" i="84" l="1"/>
  <c r="Q102" i="84"/>
  <c r="Q78" i="65"/>
  <c r="P78" i="65"/>
  <c r="P103" i="84" l="1"/>
  <c r="Q103" i="84"/>
  <c r="P79" i="65"/>
  <c r="Q79" i="65"/>
  <c r="Q104" i="84" l="1"/>
  <c r="P104" i="84"/>
  <c r="P80" i="65"/>
  <c r="Q80" i="65"/>
  <c r="P81" i="65" l="1"/>
  <c r="Q81" i="65"/>
  <c r="P82" i="65" l="1"/>
  <c r="Q82" i="65"/>
  <c r="P105" i="84" l="1"/>
  <c r="Q105" i="84"/>
  <c r="P83" i="65"/>
  <c r="Q83" i="65"/>
  <c r="P84" i="65" l="1"/>
  <c r="Q84" i="65"/>
  <c r="Q85" i="65" l="1"/>
  <c r="P85" i="65"/>
  <c r="Q86" i="65" l="1"/>
  <c r="P86" i="65"/>
  <c r="P87" i="65" l="1"/>
  <c r="Q87" i="65"/>
  <c r="P88" i="65" l="1"/>
  <c r="Q88" i="65"/>
  <c r="Q89" i="65" l="1"/>
  <c r="P89" i="65"/>
  <c r="P90" i="65" l="1"/>
  <c r="Q90" i="65"/>
  <c r="Q91" i="65" l="1"/>
  <c r="P91" i="65"/>
  <c r="P92" i="65" l="1"/>
  <c r="Q92" i="65"/>
  <c r="P93" i="65" l="1"/>
  <c r="Q93" i="65"/>
  <c r="P94" i="65" l="1"/>
  <c r="Q94" i="65"/>
  <c r="Q95" i="65" l="1"/>
  <c r="P95" i="65"/>
  <c r="Q96" i="65" l="1"/>
  <c r="P96" i="65"/>
  <c r="Q97" i="65" l="1"/>
  <c r="P97" i="65"/>
  <c r="Q98" i="65" l="1"/>
  <c r="P98" i="65"/>
  <c r="Q99" i="65" l="1"/>
  <c r="P99" i="65"/>
  <c r="P100" i="65" l="1"/>
  <c r="Q100" i="65"/>
  <c r="Q101" i="65" l="1"/>
  <c r="P101" i="65"/>
  <c r="Q102" i="65" l="1"/>
  <c r="P102" i="65"/>
  <c r="Q103" i="65" l="1"/>
  <c r="P103" i="65"/>
  <c r="Q104" i="65" l="1"/>
  <c r="P104" i="65"/>
  <c r="Q105" i="65" l="1"/>
  <c r="P105" i="65"/>
  <c r="C33" i="82"/>
  <c r="D46" i="82" l="1"/>
  <c r="G54" i="91"/>
  <c r="D54" i="91" s="1"/>
  <c r="G58" i="91"/>
  <c r="D58" i="91" s="1"/>
  <c r="D38" i="82" s="1"/>
  <c r="G52" i="91"/>
  <c r="D52" i="91" s="1"/>
  <c r="G60" i="91"/>
  <c r="D60" i="91" s="1"/>
  <c r="D40" i="82" s="1"/>
  <c r="D45" i="82"/>
  <c r="G56" i="91"/>
  <c r="D56" i="91" s="1"/>
  <c r="D36" i="82" s="1"/>
  <c r="G55" i="91"/>
  <c r="F56" i="91" s="1"/>
  <c r="H36" i="82" s="1"/>
  <c r="B47" i="76" s="1"/>
  <c r="E46" i="82"/>
  <c r="E45" i="82"/>
  <c r="G57" i="91"/>
  <c r="D57" i="91" s="1"/>
  <c r="D37" i="82" s="1"/>
  <c r="G59" i="91"/>
  <c r="D59" i="91" s="1"/>
  <c r="D39" i="82" s="1"/>
  <c r="C32" i="82"/>
  <c r="G53" i="91"/>
  <c r="F52" i="91" s="1"/>
  <c r="N46" i="76" l="1"/>
  <c r="I46" i="76"/>
  <c r="H32" i="82"/>
  <c r="D41" i="82"/>
  <c r="D53" i="91"/>
  <c r="F54" i="91"/>
  <c r="H34" i="82" s="1"/>
  <c r="N47" i="76" l="1"/>
  <c r="I47" i="76"/>
  <c r="D33" i="82"/>
  <c r="F53" i="91"/>
  <c r="H33" i="82" s="1"/>
  <c r="I8" i="65" l="1"/>
  <c r="I8" i="84" l="1"/>
  <c r="C8" i="84" l="1"/>
  <c r="C9" i="84"/>
  <c r="C7" i="84"/>
  <c r="C10" i="84"/>
  <c r="C6" i="84"/>
  <c r="C11" i="84"/>
  <c r="C12" i="84"/>
  <c r="C13" i="84"/>
  <c r="C14" i="84"/>
  <c r="C15" i="84"/>
  <c r="C16" i="84"/>
  <c r="C17" i="84"/>
  <c r="C18" i="84"/>
  <c r="C19" i="84"/>
  <c r="C20" i="84"/>
  <c r="C6" i="65"/>
  <c r="C7" i="65"/>
  <c r="C8" i="65"/>
  <c r="C21" i="84"/>
  <c r="C22" i="84"/>
  <c r="C9" i="65"/>
  <c r="C10" i="65"/>
  <c r="C23" i="84"/>
  <c r="C11" i="65"/>
  <c r="C12" i="65"/>
  <c r="C24" i="84"/>
  <c r="C13" i="65"/>
  <c r="C25" i="84"/>
  <c r="C26" i="84"/>
  <c r="C14" i="65"/>
  <c r="C15" i="65"/>
  <c r="C27" i="84"/>
  <c r="C16" i="65"/>
  <c r="C28" i="84"/>
  <c r="C17" i="65"/>
  <c r="C29" i="84"/>
  <c r="C30" i="84"/>
  <c r="C18" i="65"/>
  <c r="C19" i="65"/>
  <c r="C31" i="84"/>
  <c r="C32" i="84"/>
  <c r="C20" i="65"/>
  <c r="C33" i="84"/>
  <c r="C21" i="65"/>
  <c r="C22" i="65"/>
  <c r="C34" i="84"/>
  <c r="C35" i="84"/>
  <c r="C23" i="65"/>
  <c r="C24" i="65"/>
  <c r="C25" i="65"/>
  <c r="C26" i="65"/>
  <c r="C27" i="65"/>
  <c r="C28" i="65"/>
  <c r="C29" i="65"/>
  <c r="C30" i="65"/>
  <c r="C31" i="65"/>
  <c r="C32" i="65"/>
  <c r="C33" i="65"/>
  <c r="C34" i="65"/>
  <c r="C35" i="65"/>
  <c r="K6" i="84" l="1"/>
  <c r="G92" i="84" l="1"/>
  <c r="G78" i="84"/>
  <c r="G53" i="84"/>
  <c r="G89" i="84"/>
  <c r="G95" i="84"/>
  <c r="G48" i="84"/>
  <c r="G55" i="84"/>
  <c r="G38" i="84"/>
  <c r="G84" i="84"/>
  <c r="G49" i="84"/>
  <c r="G86" i="84"/>
  <c r="G41" i="84"/>
  <c r="G39" i="84"/>
  <c r="G62" i="84"/>
  <c r="G88" i="84"/>
  <c r="G59" i="84"/>
  <c r="G50" i="84"/>
  <c r="G73" i="84"/>
  <c r="G79" i="84"/>
  <c r="G93" i="84"/>
  <c r="G96" i="84"/>
  <c r="G67" i="84"/>
  <c r="G36" i="84"/>
  <c r="G87" i="84"/>
  <c r="G81" i="84"/>
  <c r="G71" i="84"/>
  <c r="G46" i="84"/>
  <c r="G85" i="84"/>
  <c r="G72" i="84"/>
  <c r="G43" i="84"/>
  <c r="G98" i="84"/>
  <c r="G76" i="84"/>
  <c r="G63" i="84"/>
  <c r="G77" i="84"/>
  <c r="G80" i="84"/>
  <c r="G51" i="84"/>
  <c r="G90" i="84"/>
  <c r="G44" i="84"/>
  <c r="G102" i="84"/>
  <c r="G57" i="84"/>
  <c r="G103" i="84"/>
  <c r="G68" i="84"/>
  <c r="G42" i="84"/>
  <c r="G54" i="84"/>
  <c r="G100" i="84"/>
  <c r="G52" i="84"/>
  <c r="G105" i="84"/>
  <c r="G40" i="84"/>
  <c r="G75" i="84"/>
  <c r="G66" i="84"/>
  <c r="G45" i="84"/>
  <c r="G83" i="84"/>
  <c r="G101" i="84"/>
  <c r="G37" i="84"/>
  <c r="G94" i="84"/>
  <c r="G69" i="84"/>
  <c r="G56" i="84"/>
  <c r="G91" i="84"/>
  <c r="G82" i="84"/>
  <c r="G104" i="84"/>
  <c r="G60" i="84"/>
  <c r="G61" i="84"/>
  <c r="G64" i="84"/>
  <c r="G99" i="84"/>
  <c r="G58" i="84"/>
  <c r="G65" i="84"/>
  <c r="G70" i="84"/>
  <c r="G47" i="84"/>
  <c r="G74" i="84"/>
  <c r="G97" i="84"/>
  <c r="G56" i="65"/>
  <c r="G72" i="65"/>
  <c r="G45" i="65"/>
  <c r="G39" i="65"/>
  <c r="G54" i="65"/>
  <c r="G88" i="65"/>
  <c r="G104" i="65"/>
  <c r="G38" i="65"/>
  <c r="G70" i="65"/>
  <c r="G86" i="65"/>
  <c r="K6" i="65"/>
  <c r="G103" i="65"/>
  <c r="G93" i="65"/>
  <c r="G95" i="65"/>
  <c r="G71" i="65"/>
  <c r="G49" i="65"/>
  <c r="G74" i="65"/>
  <c r="G46" i="65" l="1"/>
  <c r="G37" i="65"/>
  <c r="G64" i="65"/>
  <c r="G98" i="65"/>
  <c r="G105" i="65"/>
  <c r="G90" i="65"/>
  <c r="G42" i="65"/>
  <c r="G97" i="65"/>
  <c r="G92" i="65"/>
  <c r="G94" i="65"/>
  <c r="G85" i="65"/>
  <c r="G48" i="65"/>
  <c r="G82" i="65"/>
  <c r="G79" i="65"/>
  <c r="G89" i="65"/>
  <c r="G52" i="65"/>
  <c r="G101" i="65"/>
  <c r="G41" i="65"/>
  <c r="G87" i="65"/>
  <c r="G81" i="65"/>
  <c r="G76" i="65"/>
  <c r="G99" i="65"/>
  <c r="G78" i="65"/>
  <c r="G67" i="65"/>
  <c r="G69" i="65"/>
  <c r="G96" i="65"/>
  <c r="G63" i="65"/>
  <c r="G66" i="65"/>
  <c r="G73" i="65"/>
  <c r="G91" i="65"/>
  <c r="G100" i="65"/>
  <c r="G36" i="65"/>
  <c r="G58" i="65"/>
  <c r="G43" i="65"/>
  <c r="G68" i="65"/>
  <c r="G47" i="65"/>
  <c r="G65" i="65"/>
  <c r="G60" i="65"/>
  <c r="G51" i="65"/>
  <c r="G62" i="65"/>
  <c r="G53" i="65"/>
  <c r="G83" i="65"/>
  <c r="G80" i="65"/>
  <c r="G50" i="65"/>
  <c r="G57" i="65"/>
  <c r="G55" i="65"/>
  <c r="G84" i="65"/>
  <c r="Y14" i="76"/>
  <c r="Y15" i="76"/>
  <c r="Y17" i="76"/>
  <c r="Y18" i="76"/>
  <c r="Y16" i="76"/>
  <c r="Y19" i="76"/>
  <c r="AK15" i="76" l="1"/>
  <c r="K15" i="76" s="1"/>
  <c r="AR15" i="76"/>
  <c r="L15" i="76" s="1"/>
  <c r="AR14" i="76"/>
  <c r="L14" i="76" s="1"/>
  <c r="AK14" i="76"/>
  <c r="K14" i="76" s="1"/>
  <c r="AR16" i="76"/>
  <c r="AK16" i="76"/>
  <c r="E91" i="91"/>
  <c r="E106" i="91"/>
  <c r="E90" i="91"/>
  <c r="E105" i="91"/>
  <c r="AU15" i="76"/>
  <c r="AN15" i="76"/>
  <c r="AN18" i="76"/>
  <c r="AU18" i="76"/>
  <c r="E104" i="91"/>
  <c r="AN14" i="76"/>
  <c r="AU14" i="76"/>
  <c r="M37" i="76"/>
  <c r="G37" i="76"/>
  <c r="G26" i="76"/>
  <c r="M26" i="76"/>
  <c r="AV18" i="76"/>
  <c r="AO18" i="76"/>
  <c r="AV14" i="76"/>
  <c r="AO14" i="76"/>
  <c r="AN16" i="76"/>
  <c r="AU16" i="76"/>
  <c r="AU19" i="76"/>
  <c r="AN19" i="76"/>
  <c r="AV17" i="76"/>
  <c r="AO17" i="76"/>
  <c r="AV15" i="76"/>
  <c r="AO15" i="76"/>
  <c r="AN17" i="76"/>
  <c r="AU17" i="76"/>
  <c r="AO16" i="76"/>
  <c r="AV16" i="76"/>
  <c r="AO19" i="76"/>
  <c r="AV19" i="76"/>
  <c r="E89" i="91"/>
  <c r="AL19" i="76"/>
  <c r="AL18" i="76"/>
  <c r="D101" i="91"/>
  <c r="AS18" i="76"/>
  <c r="D88" i="91"/>
  <c r="AL17" i="76"/>
  <c r="AL14" i="76"/>
  <c r="AL16" i="76"/>
  <c r="D87" i="91"/>
  <c r="AL15" i="76"/>
  <c r="AS15" i="76"/>
  <c r="D102" i="91"/>
  <c r="AS14" i="76"/>
  <c r="D86" i="91"/>
  <c r="AS19" i="76"/>
  <c r="AS17" i="76"/>
  <c r="D103" i="91"/>
  <c r="AS16" i="76"/>
  <c r="AM19" i="76" l="1"/>
  <c r="M19" i="76" s="1"/>
  <c r="AT19" i="76"/>
  <c r="N19" i="76" s="1"/>
  <c r="AT18" i="76"/>
  <c r="N18" i="76" s="1"/>
  <c r="AM18" i="76"/>
  <c r="M18" i="76" s="1"/>
  <c r="AT17" i="76"/>
  <c r="N17" i="76" s="1"/>
  <c r="AM17" i="76"/>
  <c r="M17" i="76" s="1"/>
  <c r="J88" i="91" a="1"/>
  <c r="H88" i="91" a="1"/>
  <c r="J103" i="91" a="1"/>
  <c r="H103" i="91" a="1"/>
  <c r="AM16" i="76"/>
  <c r="M16" i="76" s="1"/>
  <c r="K16" i="76"/>
  <c r="K20" i="76" s="1"/>
  <c r="G38" i="76"/>
  <c r="G31" i="76"/>
  <c r="AK20" i="76"/>
  <c r="G32" i="76"/>
  <c r="L16" i="76"/>
  <c r="L20" i="76" s="1"/>
  <c r="AT16" i="76"/>
  <c r="N16" i="76" s="1"/>
  <c r="M32" i="76"/>
  <c r="M38" i="76"/>
  <c r="AR20" i="76"/>
  <c r="M31" i="76"/>
  <c r="H102" i="91" a="1"/>
  <c r="J102" i="91" a="1"/>
  <c r="AM15" i="76"/>
  <c r="M15" i="76" s="1"/>
  <c r="AT15" i="76"/>
  <c r="N15" i="76" s="1"/>
  <c r="J87" i="91" a="1"/>
  <c r="H87" i="91" a="1"/>
  <c r="H86" i="91" a="1"/>
  <c r="J86" i="91" a="1"/>
  <c r="AM14" i="76"/>
  <c r="H101" i="91" a="1"/>
  <c r="J101" i="91" a="1"/>
  <c r="AT14" i="76"/>
  <c r="G6" i="84"/>
  <c r="AU20" i="76"/>
  <c r="M36" i="76" a="1"/>
  <c r="AN20" i="76"/>
  <c r="G36" i="76" a="1"/>
  <c r="AO20" i="76"/>
  <c r="AV20" i="76"/>
  <c r="AG19" i="76"/>
  <c r="AG17" i="76"/>
  <c r="AG18" i="76"/>
  <c r="D32" i="82" l="1"/>
  <c r="D34" i="82"/>
  <c r="AW19" i="76"/>
  <c r="AX19" i="76"/>
  <c r="AW18" i="76"/>
  <c r="AX18" i="76"/>
  <c r="AW17" i="76"/>
  <c r="AX17" i="76"/>
  <c r="E88" i="91"/>
  <c r="E103" i="91"/>
  <c r="AW16" i="76"/>
  <c r="AX16" i="76"/>
  <c r="D50" i="82"/>
  <c r="D125" i="91"/>
  <c r="D85" i="91"/>
  <c r="H85" i="91" s="1" a="1"/>
  <c r="D133" i="91"/>
  <c r="D100" i="91"/>
  <c r="H100" i="91" s="1" a="1"/>
  <c r="F50" i="82"/>
  <c r="J100" i="91"/>
  <c r="E102" i="91"/>
  <c r="J85" i="91"/>
  <c r="E87" i="91"/>
  <c r="AW15" i="76"/>
  <c r="AX15" i="76"/>
  <c r="E101" i="91"/>
  <c r="N14" i="76"/>
  <c r="N20" i="76" s="1"/>
  <c r="AT20" i="76"/>
  <c r="M14" i="76"/>
  <c r="AM20" i="76"/>
  <c r="E86" i="91"/>
  <c r="E85" i="91" l="1"/>
  <c r="G25" i="76" s="1"/>
  <c r="G27" i="76" s="1"/>
  <c r="N5" i="65" s="1"/>
  <c r="D35" i="82"/>
  <c r="N48" i="76" s="1"/>
  <c r="E100" i="91"/>
  <c r="F51" i="82" s="1"/>
  <c r="D135" i="91"/>
  <c r="D134" i="91"/>
  <c r="D138" i="91"/>
  <c r="D136" i="91"/>
  <c r="D137" i="91"/>
  <c r="D129" i="91"/>
  <c r="D128" i="91"/>
  <c r="D127" i="91"/>
  <c r="D126" i="91"/>
  <c r="D130" i="91"/>
  <c r="AW14" i="76"/>
  <c r="AW20" i="76" s="1"/>
  <c r="B57" i="76" s="1"/>
  <c r="M20" i="76"/>
  <c r="AX14" i="76"/>
  <c r="AX20" i="76" s="1"/>
  <c r="B58" i="76" s="1"/>
  <c r="D20" i="84"/>
  <c r="D16" i="84"/>
  <c r="D8" i="84"/>
  <c r="D15" i="84"/>
  <c r="D38" i="84"/>
  <c r="D42" i="84"/>
  <c r="D46" i="84"/>
  <c r="D50" i="84"/>
  <c r="D54" i="84"/>
  <c r="D58" i="84"/>
  <c r="D62" i="84"/>
  <c r="D66" i="84"/>
  <c r="D70" i="84"/>
  <c r="D74" i="84"/>
  <c r="D78" i="84"/>
  <c r="D82" i="84"/>
  <c r="D86" i="84"/>
  <c r="D90" i="84"/>
  <c r="D94" i="84"/>
  <c r="D98" i="84"/>
  <c r="D102" i="84"/>
  <c r="D31" i="84"/>
  <c r="D27" i="84"/>
  <c r="D32" i="84"/>
  <c r="D35" i="84"/>
  <c r="D6" i="84"/>
  <c r="D37" i="84"/>
  <c r="D49" i="84"/>
  <c r="D61" i="84"/>
  <c r="D69" i="84"/>
  <c r="D81" i="84"/>
  <c r="D93" i="84"/>
  <c r="D104" i="84"/>
  <c r="D25" i="84"/>
  <c r="D17" i="84"/>
  <c r="D11" i="84"/>
  <c r="D10" i="84"/>
  <c r="D13" i="84"/>
  <c r="D39" i="84"/>
  <c r="D43" i="84"/>
  <c r="D47" i="84"/>
  <c r="D51" i="84"/>
  <c r="D55" i="84"/>
  <c r="D59" i="84"/>
  <c r="D63" i="84"/>
  <c r="D67" i="84"/>
  <c r="D71" i="84"/>
  <c r="D75" i="84"/>
  <c r="D79" i="84"/>
  <c r="D83" i="84"/>
  <c r="D87" i="84"/>
  <c r="D91" i="84"/>
  <c r="D95" i="84"/>
  <c r="D99" i="84"/>
  <c r="D103" i="84"/>
  <c r="D23" i="84"/>
  <c r="D21" i="84"/>
  <c r="D33" i="84"/>
  <c r="D30" i="84"/>
  <c r="D19" i="84"/>
  <c r="D45" i="84"/>
  <c r="D57" i="84"/>
  <c r="D65" i="84"/>
  <c r="D77" i="84"/>
  <c r="D89" i="84"/>
  <c r="D101" i="84"/>
  <c r="D34" i="84"/>
  <c r="M44" i="76"/>
  <c r="D9" i="84"/>
  <c r="D12" i="84"/>
  <c r="D14" i="84"/>
  <c r="D36" i="84"/>
  <c r="D40" i="84"/>
  <c r="D44" i="84"/>
  <c r="D48" i="84"/>
  <c r="D52" i="84"/>
  <c r="D56" i="84"/>
  <c r="D60" i="84"/>
  <c r="D64" i="84"/>
  <c r="D68" i="84"/>
  <c r="D72" i="84"/>
  <c r="D76" i="84"/>
  <c r="D80" i="84"/>
  <c r="D84" i="84"/>
  <c r="D88" i="84"/>
  <c r="D92" i="84"/>
  <c r="D96" i="84"/>
  <c r="D100" i="84"/>
  <c r="D105" i="84"/>
  <c r="D29" i="84"/>
  <c r="D22" i="84"/>
  <c r="D28" i="84"/>
  <c r="D26" i="84"/>
  <c r="D18" i="84"/>
  <c r="D41" i="84"/>
  <c r="D53" i="84"/>
  <c r="D73" i="84"/>
  <c r="D85" i="84"/>
  <c r="D97" i="84"/>
  <c r="D24" i="84"/>
  <c r="D7" i="84"/>
  <c r="P5" i="65" l="1"/>
  <c r="Q5" i="65"/>
  <c r="D51" i="82"/>
  <c r="I48" i="76"/>
  <c r="M25" i="76"/>
  <c r="M27" i="76" s="1"/>
  <c r="N5" i="84" s="1"/>
  <c r="Q5" i="84" s="1"/>
  <c r="D131" i="91"/>
  <c r="E44" i="150" s="1"/>
  <c r="D139" i="91"/>
  <c r="E97" i="84" a="1"/>
  <c r="H97" i="84" s="1"/>
  <c r="J97" i="84"/>
  <c r="K97" i="84" s="1"/>
  <c r="E41" i="84" a="1"/>
  <c r="H41" i="84" s="1"/>
  <c r="J41" i="84"/>
  <c r="K41" i="84" s="1"/>
  <c r="E22" i="84" a="1"/>
  <c r="H22" i="84" s="1"/>
  <c r="J22" i="84"/>
  <c r="K22" i="84" s="1"/>
  <c r="E96" i="84" a="1"/>
  <c r="H96" i="84" s="1"/>
  <c r="J96" i="84"/>
  <c r="K96" i="84" s="1"/>
  <c r="E80" i="84" a="1"/>
  <c r="H80" i="84" s="1"/>
  <c r="J80" i="84"/>
  <c r="K80" i="84" s="1"/>
  <c r="E64" i="84" a="1"/>
  <c r="H64" i="84" s="1"/>
  <c r="J64" i="84"/>
  <c r="K64" i="84" s="1"/>
  <c r="J48" i="84"/>
  <c r="K48" i="84" s="1"/>
  <c r="E48" i="84" a="1"/>
  <c r="H48" i="84" s="1"/>
  <c r="J14" i="84"/>
  <c r="K14" i="84" s="1"/>
  <c r="E14" i="84" a="1"/>
  <c r="H14" i="84" s="1"/>
  <c r="J34" i="84"/>
  <c r="K34" i="84" s="1"/>
  <c r="E34" i="84" a="1"/>
  <c r="H34" i="84" s="1"/>
  <c r="J65" i="84"/>
  <c r="K65" i="84" s="1"/>
  <c r="E65" i="84" a="1"/>
  <c r="H65" i="84" s="1"/>
  <c r="E30" i="84" a="1"/>
  <c r="H30" i="84" s="1"/>
  <c r="J30" i="84"/>
  <c r="K30" i="84" s="1"/>
  <c r="J103" i="84"/>
  <c r="K103" i="84" s="1"/>
  <c r="E103" i="84" a="1"/>
  <c r="H103" i="84" s="1"/>
  <c r="J87" i="84"/>
  <c r="K87" i="84" s="1"/>
  <c r="E87" i="84" a="1"/>
  <c r="H87" i="84" s="1"/>
  <c r="E71" i="84" a="1"/>
  <c r="H71" i="84" s="1"/>
  <c r="J71" i="84"/>
  <c r="K71" i="84" s="1"/>
  <c r="E55" i="84" a="1"/>
  <c r="H55" i="84" s="1"/>
  <c r="J55" i="84"/>
  <c r="K55" i="84" s="1"/>
  <c r="J39" i="84"/>
  <c r="K39" i="84" s="1"/>
  <c r="E39" i="84" a="1"/>
  <c r="H39" i="84" s="1"/>
  <c r="J17" i="84"/>
  <c r="K17" i="84" s="1"/>
  <c r="E17" i="84" a="1"/>
  <c r="H17" i="84" s="1"/>
  <c r="J81" i="84"/>
  <c r="K81" i="84" s="1"/>
  <c r="E81" i="84" a="1"/>
  <c r="H81" i="84" s="1"/>
  <c r="J37" i="84"/>
  <c r="K37" i="84" s="1"/>
  <c r="E37" i="84" a="1"/>
  <c r="H37" i="84" s="1"/>
  <c r="E27" i="84" a="1"/>
  <c r="H27" i="84" s="1"/>
  <c r="J27" i="84"/>
  <c r="K27" i="84" s="1"/>
  <c r="E94" i="84" a="1"/>
  <c r="H94" i="84" s="1"/>
  <c r="J94" i="84"/>
  <c r="K94" i="84" s="1"/>
  <c r="J78" i="84"/>
  <c r="K78" i="84" s="1"/>
  <c r="E78" i="84" a="1"/>
  <c r="H78" i="84" s="1"/>
  <c r="E62" i="84" a="1"/>
  <c r="H62" i="84" s="1"/>
  <c r="J62" i="84"/>
  <c r="K62" i="84" s="1"/>
  <c r="J46" i="84"/>
  <c r="K46" i="84" s="1"/>
  <c r="E46" i="84" a="1"/>
  <c r="H46" i="84" s="1"/>
  <c r="J8" i="84"/>
  <c r="K8" i="84" s="1"/>
  <c r="E8" i="84" a="1"/>
  <c r="H8" i="84" s="1"/>
  <c r="J85" i="84"/>
  <c r="K85" i="84" s="1"/>
  <c r="E85" i="84" a="1"/>
  <c r="H85" i="84" s="1"/>
  <c r="J18" i="84"/>
  <c r="K18" i="84" s="1"/>
  <c r="E18" i="84" a="1"/>
  <c r="H18" i="84" s="1"/>
  <c r="E29" i="84" a="1"/>
  <c r="H29" i="84" s="1"/>
  <c r="J29" i="84"/>
  <c r="K29" i="84" s="1"/>
  <c r="J92" i="84"/>
  <c r="K92" i="84" s="1"/>
  <c r="E92" i="84" a="1"/>
  <c r="H92" i="84" s="1"/>
  <c r="E76" i="84" a="1"/>
  <c r="H76" i="84" s="1"/>
  <c r="J76" i="84"/>
  <c r="K76" i="84" s="1"/>
  <c r="E60" i="84" a="1"/>
  <c r="H60" i="84" s="1"/>
  <c r="J60" i="84"/>
  <c r="K60" i="84" s="1"/>
  <c r="J44" i="84"/>
  <c r="K44" i="84" s="1"/>
  <c r="E44" i="84" a="1"/>
  <c r="H44" i="84" s="1"/>
  <c r="J12" i="84"/>
  <c r="K12" i="84" s="1"/>
  <c r="E12" i="84" a="1"/>
  <c r="H12" i="84" s="1"/>
  <c r="E101" i="84" a="1"/>
  <c r="H101" i="84" s="1"/>
  <c r="J101" i="84"/>
  <c r="K101" i="84" s="1"/>
  <c r="E57" i="84" a="1"/>
  <c r="H57" i="84" s="1"/>
  <c r="J57" i="84"/>
  <c r="K57" i="84" s="1"/>
  <c r="E33" i="84" a="1"/>
  <c r="H33" i="84" s="1"/>
  <c r="J33" i="84"/>
  <c r="K33" i="84" s="1"/>
  <c r="E99" i="84" a="1"/>
  <c r="H99" i="84" s="1"/>
  <c r="J99" i="84"/>
  <c r="K99" i="84" s="1"/>
  <c r="E83" i="84" a="1"/>
  <c r="H83" i="84" s="1"/>
  <c r="J83" i="84"/>
  <c r="K83" i="84" s="1"/>
  <c r="E67" i="84" a="1"/>
  <c r="H67" i="84" s="1"/>
  <c r="J67" i="84"/>
  <c r="K67" i="84" s="1"/>
  <c r="E51" i="84" a="1"/>
  <c r="H51" i="84" s="1"/>
  <c r="J51" i="84"/>
  <c r="K51" i="84" s="1"/>
  <c r="J13" i="84"/>
  <c r="K13" i="84" s="1"/>
  <c r="E13" i="84" a="1"/>
  <c r="H13" i="84" s="1"/>
  <c r="E25" i="84" a="1"/>
  <c r="H25" i="84" s="1"/>
  <c r="J25" i="84"/>
  <c r="K25" i="84" s="1"/>
  <c r="E69" i="84" a="1"/>
  <c r="H69" i="84" s="1"/>
  <c r="J69" i="84"/>
  <c r="K69" i="84" s="1"/>
  <c r="E6" i="84" a="1"/>
  <c r="F6" i="84" s="1"/>
  <c r="D4" i="84"/>
  <c r="J6" i="84"/>
  <c r="E31" i="84" a="1"/>
  <c r="H31" i="84" s="1"/>
  <c r="J31" i="84"/>
  <c r="K31" i="84" s="1"/>
  <c r="J90" i="84"/>
  <c r="K90" i="84" s="1"/>
  <c r="E90" i="84" a="1"/>
  <c r="H90" i="84" s="1"/>
  <c r="E74" i="84" a="1"/>
  <c r="H74" i="84" s="1"/>
  <c r="J74" i="84"/>
  <c r="K74" i="84" s="1"/>
  <c r="E58" i="84" a="1"/>
  <c r="H58" i="84" s="1"/>
  <c r="J58" i="84"/>
  <c r="K58" i="84" s="1"/>
  <c r="J42" i="84"/>
  <c r="K42" i="84" s="1"/>
  <c r="E42" i="84" a="1"/>
  <c r="H42" i="84" s="1"/>
  <c r="J16" i="84"/>
  <c r="K16" i="84" s="1"/>
  <c r="E16" i="84" a="1"/>
  <c r="H16" i="84" s="1"/>
  <c r="J7" i="84"/>
  <c r="K7" i="84" s="1"/>
  <c r="E7" i="84" a="1"/>
  <c r="H7" i="84" s="1"/>
  <c r="J73" i="84"/>
  <c r="K73" i="84" s="1"/>
  <c r="E73" i="84" a="1"/>
  <c r="H73" i="84" s="1"/>
  <c r="E26" i="84" a="1"/>
  <c r="H26" i="84" s="1"/>
  <c r="J26" i="84"/>
  <c r="K26" i="84" s="1"/>
  <c r="E105" i="84" a="1"/>
  <c r="H105" i="84" s="1"/>
  <c r="J105" i="84"/>
  <c r="K105" i="84" s="1"/>
  <c r="E88" i="84" a="1"/>
  <c r="H88" i="84" s="1"/>
  <c r="J88" i="84"/>
  <c r="K88" i="84" s="1"/>
  <c r="E72" i="84" a="1"/>
  <c r="H72" i="84" s="1"/>
  <c r="J72" i="84"/>
  <c r="K72" i="84" s="1"/>
  <c r="E56" i="84" a="1"/>
  <c r="H56" i="84" s="1"/>
  <c r="J56" i="84"/>
  <c r="K56" i="84" s="1"/>
  <c r="J40" i="84"/>
  <c r="K40" i="84" s="1"/>
  <c r="E40" i="84" a="1"/>
  <c r="H40" i="84" s="1"/>
  <c r="J9" i="84"/>
  <c r="K9" i="84" s="1"/>
  <c r="E9" i="84" a="1"/>
  <c r="H9" i="84" s="1"/>
  <c r="J89" i="84"/>
  <c r="K89" i="84" s="1"/>
  <c r="E89" i="84" a="1"/>
  <c r="H89" i="84" s="1"/>
  <c r="J45" i="84"/>
  <c r="K45" i="84" s="1"/>
  <c r="E45" i="84" a="1"/>
  <c r="H45" i="84" s="1"/>
  <c r="J21" i="84"/>
  <c r="K21" i="84" s="1"/>
  <c r="E21" i="84" a="1"/>
  <c r="H21" i="84" s="1"/>
  <c r="E95" i="84" a="1"/>
  <c r="H95" i="84" s="1"/>
  <c r="J95" i="84"/>
  <c r="K95" i="84" s="1"/>
  <c r="E79" i="84" a="1"/>
  <c r="H79" i="84" s="1"/>
  <c r="J79" i="84"/>
  <c r="K79" i="84" s="1"/>
  <c r="E63" i="84" a="1"/>
  <c r="H63" i="84" s="1"/>
  <c r="J63" i="84"/>
  <c r="K63" i="84" s="1"/>
  <c r="J47" i="84"/>
  <c r="K47" i="84" s="1"/>
  <c r="E47" i="84" a="1"/>
  <c r="H47" i="84" s="1"/>
  <c r="J10" i="84"/>
  <c r="K10" i="84" s="1"/>
  <c r="E10" i="84" a="1"/>
  <c r="H10" i="84" s="1"/>
  <c r="E104" i="84" a="1"/>
  <c r="H104" i="84" s="1"/>
  <c r="J104" i="84"/>
  <c r="K104" i="84" s="1"/>
  <c r="E61" i="84" a="1"/>
  <c r="H61" i="84" s="1"/>
  <c r="J61" i="84"/>
  <c r="K61" i="84" s="1"/>
  <c r="J35" i="84"/>
  <c r="K35" i="84" s="1"/>
  <c r="E35" i="84" a="1"/>
  <c r="H35" i="84" s="1"/>
  <c r="E102" i="84" a="1"/>
  <c r="H102" i="84" s="1"/>
  <c r="J102" i="84"/>
  <c r="K102" i="84" s="1"/>
  <c r="J86" i="84"/>
  <c r="K86" i="84" s="1"/>
  <c r="E86" i="84" a="1"/>
  <c r="H86" i="84" s="1"/>
  <c r="J70" i="84"/>
  <c r="K70" i="84" s="1"/>
  <c r="E70" i="84" a="1"/>
  <c r="H70" i="84" s="1"/>
  <c r="J54" i="84"/>
  <c r="K54" i="84" s="1"/>
  <c r="E54" i="84" a="1"/>
  <c r="H54" i="84" s="1"/>
  <c r="J38" i="84"/>
  <c r="K38" i="84" s="1"/>
  <c r="E38" i="84" a="1"/>
  <c r="H38" i="84" s="1"/>
  <c r="J20" i="84"/>
  <c r="K20" i="84" s="1"/>
  <c r="E20" i="84" a="1"/>
  <c r="H20" i="84" s="1"/>
  <c r="G44" i="76"/>
  <c r="D12" i="65"/>
  <c r="D11" i="65"/>
  <c r="D13" i="65"/>
  <c r="D18" i="65"/>
  <c r="D38" i="65"/>
  <c r="D42" i="65"/>
  <c r="D46" i="65"/>
  <c r="D50" i="65"/>
  <c r="D54" i="65"/>
  <c r="D58" i="65"/>
  <c r="D62" i="65"/>
  <c r="D66" i="65"/>
  <c r="D70" i="65"/>
  <c r="D74" i="65"/>
  <c r="D78" i="65"/>
  <c r="D82" i="65"/>
  <c r="D86" i="65"/>
  <c r="D90" i="65"/>
  <c r="D94" i="65"/>
  <c r="D98" i="65"/>
  <c r="D102" i="65"/>
  <c r="D30" i="65"/>
  <c r="D21" i="65"/>
  <c r="D35" i="65"/>
  <c r="D28" i="65"/>
  <c r="D15" i="65"/>
  <c r="D16" i="65"/>
  <c r="D17" i="65"/>
  <c r="D8" i="65"/>
  <c r="D39" i="65"/>
  <c r="D43" i="65"/>
  <c r="D47" i="65"/>
  <c r="D51" i="65"/>
  <c r="D55" i="65"/>
  <c r="D59" i="65"/>
  <c r="D63" i="65"/>
  <c r="D67" i="65"/>
  <c r="D71" i="65"/>
  <c r="D75" i="65"/>
  <c r="D79" i="65"/>
  <c r="D83" i="65"/>
  <c r="D87" i="65"/>
  <c r="D91" i="65"/>
  <c r="D95" i="65"/>
  <c r="D99" i="65"/>
  <c r="D103" i="65"/>
  <c r="D25" i="65"/>
  <c r="D24" i="65"/>
  <c r="D27" i="65"/>
  <c r="D23" i="65"/>
  <c r="D19" i="65"/>
  <c r="D7" i="65"/>
  <c r="D6" i="65"/>
  <c r="D36" i="65"/>
  <c r="D40" i="65"/>
  <c r="D44" i="65"/>
  <c r="D48" i="65"/>
  <c r="D52" i="65"/>
  <c r="D56" i="65"/>
  <c r="D60" i="65"/>
  <c r="D64" i="65"/>
  <c r="D68" i="65"/>
  <c r="D72" i="65"/>
  <c r="D76" i="65"/>
  <c r="D80" i="65"/>
  <c r="D84" i="65"/>
  <c r="D88" i="65"/>
  <c r="D92" i="65"/>
  <c r="D96" i="65"/>
  <c r="D100" i="65"/>
  <c r="D104" i="65"/>
  <c r="D31" i="65"/>
  <c r="D26" i="65"/>
  <c r="D33" i="65"/>
  <c r="D34" i="65"/>
  <c r="D9" i="65"/>
  <c r="D41" i="65"/>
  <c r="D57" i="65"/>
  <c r="D73" i="65"/>
  <c r="D89" i="65"/>
  <c r="D105" i="65"/>
  <c r="D29" i="65"/>
  <c r="D69" i="65"/>
  <c r="D20" i="65"/>
  <c r="D10" i="65"/>
  <c r="D45" i="65"/>
  <c r="D61" i="65"/>
  <c r="D77" i="65"/>
  <c r="D93" i="65"/>
  <c r="D22" i="65"/>
  <c r="D53" i="65"/>
  <c r="D101" i="65"/>
  <c r="D14" i="65"/>
  <c r="D49" i="65"/>
  <c r="D65" i="65"/>
  <c r="D81" i="65"/>
  <c r="D97" i="65"/>
  <c r="D32" i="65"/>
  <c r="D37" i="65"/>
  <c r="D85" i="65"/>
  <c r="E24" i="84" a="1"/>
  <c r="H24" i="84" s="1"/>
  <c r="J24" i="84"/>
  <c r="K24" i="84" s="1"/>
  <c r="J53" i="84"/>
  <c r="K53" i="84" s="1"/>
  <c r="E53" i="84" a="1"/>
  <c r="H53" i="84" s="1"/>
  <c r="E28" i="84" a="1"/>
  <c r="H28" i="84" s="1"/>
  <c r="J28" i="84"/>
  <c r="K28" i="84" s="1"/>
  <c r="E100" i="84" a="1"/>
  <c r="H100" i="84" s="1"/>
  <c r="J100" i="84"/>
  <c r="K100" i="84" s="1"/>
  <c r="E84" i="84" a="1"/>
  <c r="H84" i="84" s="1"/>
  <c r="J84" i="84"/>
  <c r="K84" i="84" s="1"/>
  <c r="E68" i="84" a="1"/>
  <c r="H68" i="84" s="1"/>
  <c r="J68" i="84"/>
  <c r="K68" i="84" s="1"/>
  <c r="E52" i="84" a="1"/>
  <c r="H52" i="84" s="1"/>
  <c r="J52" i="84"/>
  <c r="K52" i="84" s="1"/>
  <c r="J36" i="84"/>
  <c r="K36" i="84" s="1"/>
  <c r="E36" i="84" a="1"/>
  <c r="H36" i="84" s="1"/>
  <c r="J77" i="84"/>
  <c r="K77" i="84" s="1"/>
  <c r="E77" i="84" a="1"/>
  <c r="H77" i="84" s="1"/>
  <c r="E19" i="84" a="1"/>
  <c r="H19" i="84" s="1"/>
  <c r="J19" i="84"/>
  <c r="K19" i="84" s="1"/>
  <c r="E23" i="84" a="1"/>
  <c r="H23" i="84" s="1"/>
  <c r="J23" i="84"/>
  <c r="K23" i="84" s="1"/>
  <c r="E91" i="84" a="1"/>
  <c r="H91" i="84" s="1"/>
  <c r="J91" i="84"/>
  <c r="K91" i="84" s="1"/>
  <c r="E75" i="84" a="1"/>
  <c r="H75" i="84" s="1"/>
  <c r="J75" i="84"/>
  <c r="K75" i="84" s="1"/>
  <c r="E59" i="84" a="1"/>
  <c r="H59" i="84" s="1"/>
  <c r="J59" i="84"/>
  <c r="K59" i="84" s="1"/>
  <c r="J43" i="84"/>
  <c r="K43" i="84" s="1"/>
  <c r="E43" i="84" a="1"/>
  <c r="H43" i="84" s="1"/>
  <c r="J11" i="84"/>
  <c r="K11" i="84" s="1"/>
  <c r="E11" i="84" a="1"/>
  <c r="H11" i="84" s="1"/>
  <c r="E93" i="84" a="1"/>
  <c r="H93" i="84" s="1"/>
  <c r="J93" i="84"/>
  <c r="K93" i="84" s="1"/>
  <c r="J49" i="84"/>
  <c r="K49" i="84" s="1"/>
  <c r="E49" i="84" a="1"/>
  <c r="H49" i="84" s="1"/>
  <c r="E32" i="84" a="1"/>
  <c r="H32" i="84" s="1"/>
  <c r="J32" i="84"/>
  <c r="K32" i="84" s="1"/>
  <c r="E98" i="84" a="1"/>
  <c r="H98" i="84" s="1"/>
  <c r="J98" i="84"/>
  <c r="K98" i="84" s="1"/>
  <c r="E82" i="84" a="1"/>
  <c r="H82" i="84" s="1"/>
  <c r="J82" i="84"/>
  <c r="K82" i="84" s="1"/>
  <c r="E66" i="84" a="1"/>
  <c r="H66" i="84" s="1"/>
  <c r="J66" i="84"/>
  <c r="K66" i="84" s="1"/>
  <c r="E50" i="84" a="1"/>
  <c r="H50" i="84" s="1"/>
  <c r="J50" i="84"/>
  <c r="K50" i="84" s="1"/>
  <c r="J15" i="84"/>
  <c r="K15" i="84" s="1"/>
  <c r="E15" i="84" a="1"/>
  <c r="H15" i="84" s="1"/>
  <c r="H44" i="149" l="1"/>
  <c r="H44" i="150"/>
  <c r="E44" i="148"/>
  <c r="E44" i="149"/>
  <c r="H44" i="147"/>
  <c r="H44" i="148"/>
  <c r="E44" i="146"/>
  <c r="E44" i="147"/>
  <c r="H44" i="145"/>
  <c r="H44" i="146"/>
  <c r="D56" i="82"/>
  <c r="E44" i="145"/>
  <c r="D58" i="82"/>
  <c r="G30" i="76"/>
  <c r="G33" i="76" s="1"/>
  <c r="G35" i="76" s="1"/>
  <c r="G39" i="76" s="1"/>
  <c r="I6" i="65" s="1"/>
  <c r="I4" i="65" s="1"/>
  <c r="P5" i="84"/>
  <c r="F56" i="82"/>
  <c r="M30" i="76"/>
  <c r="M33" i="76" s="1"/>
  <c r="F58" i="82"/>
  <c r="F97" i="84"/>
  <c r="M97" i="84" s="1"/>
  <c r="F14" i="84"/>
  <c r="G14" i="84" s="1"/>
  <c r="F73" i="84"/>
  <c r="M73" i="84" s="1"/>
  <c r="F19" i="84"/>
  <c r="G19" i="84" s="1"/>
  <c r="F86" i="84"/>
  <c r="M86" i="84" s="1"/>
  <c r="F25" i="84"/>
  <c r="G25" i="84" s="1"/>
  <c r="F85" i="84"/>
  <c r="M85" i="84" s="1"/>
  <c r="F82" i="84"/>
  <c r="M82" i="84" s="1"/>
  <c r="F53" i="84"/>
  <c r="M53" i="84" s="1"/>
  <c r="F35" i="84"/>
  <c r="G35" i="84" s="1"/>
  <c r="F58" i="84"/>
  <c r="M58" i="84" s="1"/>
  <c r="F69" i="84"/>
  <c r="M69" i="84" s="1"/>
  <c r="F101" i="84"/>
  <c r="M101" i="84" s="1"/>
  <c r="F60" i="84"/>
  <c r="M60" i="84" s="1"/>
  <c r="F46" i="84"/>
  <c r="M46" i="84" s="1"/>
  <c r="F21" i="84"/>
  <c r="F42" i="84"/>
  <c r="M42" i="84" s="1"/>
  <c r="F44" i="84"/>
  <c r="M44" i="84" s="1"/>
  <c r="F81" i="84"/>
  <c r="M81" i="84" s="1"/>
  <c r="F93" i="84"/>
  <c r="M93" i="84" s="1"/>
  <c r="F59" i="84"/>
  <c r="M59" i="84" s="1"/>
  <c r="F68" i="84"/>
  <c r="M68" i="84" s="1"/>
  <c r="F20" i="84"/>
  <c r="F95" i="84"/>
  <c r="M95" i="84" s="1"/>
  <c r="F89" i="84"/>
  <c r="M89" i="84" s="1"/>
  <c r="F88" i="84"/>
  <c r="M88" i="84" s="1"/>
  <c r="F83" i="84"/>
  <c r="M83" i="84" s="1"/>
  <c r="F78" i="84"/>
  <c r="M78" i="84" s="1"/>
  <c r="F103" i="84"/>
  <c r="M103" i="84" s="1"/>
  <c r="F96" i="84"/>
  <c r="M96" i="84" s="1"/>
  <c r="F49" i="84"/>
  <c r="M49" i="84" s="1"/>
  <c r="F43" i="84"/>
  <c r="M43" i="84" s="1"/>
  <c r="F77" i="84"/>
  <c r="M77" i="84" s="1"/>
  <c r="F24" i="84"/>
  <c r="G24" i="84" s="1"/>
  <c r="F54" i="84"/>
  <c r="M54" i="84" s="1"/>
  <c r="F102" i="84"/>
  <c r="M102" i="84" s="1"/>
  <c r="F47" i="84"/>
  <c r="M47" i="84" s="1"/>
  <c r="F40" i="84"/>
  <c r="M40" i="84" s="1"/>
  <c r="F31" i="84"/>
  <c r="F67" i="84"/>
  <c r="M67" i="84" s="1"/>
  <c r="F76" i="84"/>
  <c r="M76" i="84" s="1"/>
  <c r="F65" i="84"/>
  <c r="M65" i="84" s="1"/>
  <c r="F80" i="84"/>
  <c r="M80" i="84" s="1"/>
  <c r="F66" i="84"/>
  <c r="M66" i="84" s="1"/>
  <c r="F75" i="84"/>
  <c r="M75" i="84" s="1"/>
  <c r="F84" i="84"/>
  <c r="M84" i="84" s="1"/>
  <c r="F57" i="84"/>
  <c r="M57" i="84" s="1"/>
  <c r="F94" i="84"/>
  <c r="M94" i="84" s="1"/>
  <c r="F39" i="84"/>
  <c r="M39" i="84" s="1"/>
  <c r="E85" i="65"/>
  <c r="H85" i="65" s="1"/>
  <c r="J85" i="65"/>
  <c r="K85" i="65" s="1"/>
  <c r="E81" i="65"/>
  <c r="H81" i="65" s="1"/>
  <c r="J81" i="65"/>
  <c r="K81" i="65" s="1"/>
  <c r="J101" i="65"/>
  <c r="K101" i="65" s="1"/>
  <c r="E101" i="65"/>
  <c r="H101" i="65" s="1"/>
  <c r="J77" i="65"/>
  <c r="K77" i="65" s="1"/>
  <c r="E77" i="65"/>
  <c r="H77" i="65" s="1"/>
  <c r="E20" i="65"/>
  <c r="H20" i="65" s="1"/>
  <c r="J20" i="65"/>
  <c r="K20" i="65" s="1"/>
  <c r="E89" i="65"/>
  <c r="H89" i="65" s="1"/>
  <c r="J89" i="65"/>
  <c r="K89" i="65" s="1"/>
  <c r="E9" i="65"/>
  <c r="H9" i="65" s="1"/>
  <c r="J9" i="65"/>
  <c r="K9" i="65" s="1"/>
  <c r="E31" i="65"/>
  <c r="H31" i="65" s="1"/>
  <c r="J31" i="65"/>
  <c r="K31" i="65" s="1"/>
  <c r="E92" i="65"/>
  <c r="H92" i="65" s="1"/>
  <c r="J92" i="65"/>
  <c r="K92" i="65" s="1"/>
  <c r="E76" i="65"/>
  <c r="H76" i="65" s="1"/>
  <c r="J76" i="65"/>
  <c r="K76" i="65" s="1"/>
  <c r="E60" i="65"/>
  <c r="H60" i="65" s="1"/>
  <c r="J60" i="65"/>
  <c r="K60" i="65" s="1"/>
  <c r="E44" i="65"/>
  <c r="H44" i="65" s="1"/>
  <c r="J44" i="65"/>
  <c r="K44" i="65" s="1"/>
  <c r="E7" i="65"/>
  <c r="H7" i="65" s="1"/>
  <c r="J7" i="65"/>
  <c r="K7" i="65" s="1"/>
  <c r="J24" i="65"/>
  <c r="K24" i="65" s="1"/>
  <c r="E24" i="65"/>
  <c r="H24" i="65" s="1"/>
  <c r="E95" i="65"/>
  <c r="H95" i="65" s="1"/>
  <c r="J95" i="65"/>
  <c r="K95" i="65" s="1"/>
  <c r="E79" i="65"/>
  <c r="H79" i="65" s="1"/>
  <c r="J79" i="65"/>
  <c r="K79" i="65" s="1"/>
  <c r="J63" i="65"/>
  <c r="K63" i="65" s="1"/>
  <c r="E63" i="65"/>
  <c r="H63" i="65" s="1"/>
  <c r="J47" i="65"/>
  <c r="K47" i="65" s="1"/>
  <c r="E47" i="65"/>
  <c r="H47" i="65" s="1"/>
  <c r="E17" i="65"/>
  <c r="H17" i="65" s="1"/>
  <c r="J17" i="65"/>
  <c r="K17" i="65" s="1"/>
  <c r="J35" i="65"/>
  <c r="K35" i="65" s="1"/>
  <c r="E35" i="65"/>
  <c r="H35" i="65" s="1"/>
  <c r="E98" i="65"/>
  <c r="H98" i="65" s="1"/>
  <c r="J98" i="65"/>
  <c r="K98" i="65" s="1"/>
  <c r="J82" i="65"/>
  <c r="K82" i="65" s="1"/>
  <c r="E82" i="65"/>
  <c r="H82" i="65" s="1"/>
  <c r="J66" i="65"/>
  <c r="K66" i="65" s="1"/>
  <c r="E66" i="65"/>
  <c r="H66" i="65" s="1"/>
  <c r="J50" i="65"/>
  <c r="K50" i="65" s="1"/>
  <c r="E50" i="65"/>
  <c r="H50" i="65" s="1"/>
  <c r="J18" i="65"/>
  <c r="K18" i="65" s="1"/>
  <c r="E18" i="65"/>
  <c r="H18" i="65" s="1"/>
  <c r="F38" i="84"/>
  <c r="M38" i="84" s="1"/>
  <c r="F10" i="84"/>
  <c r="F9" i="84"/>
  <c r="F7" i="84"/>
  <c r="F18" i="84"/>
  <c r="F8" i="84"/>
  <c r="F17" i="84"/>
  <c r="F87" i="84"/>
  <c r="M87" i="84" s="1"/>
  <c r="F34" i="84"/>
  <c r="F32" i="84"/>
  <c r="F23" i="84"/>
  <c r="F28" i="84"/>
  <c r="E37" i="65"/>
  <c r="H37" i="65" s="1"/>
  <c r="J37" i="65"/>
  <c r="K37" i="65" s="1"/>
  <c r="E65" i="65"/>
  <c r="H65" i="65" s="1"/>
  <c r="J65" i="65"/>
  <c r="K65" i="65" s="1"/>
  <c r="J53" i="65"/>
  <c r="K53" i="65" s="1"/>
  <c r="E53" i="65"/>
  <c r="H53" i="65" s="1"/>
  <c r="J61" i="65"/>
  <c r="K61" i="65" s="1"/>
  <c r="E61" i="65"/>
  <c r="H61" i="65" s="1"/>
  <c r="E69" i="65"/>
  <c r="H69" i="65" s="1"/>
  <c r="J69" i="65"/>
  <c r="K69" i="65" s="1"/>
  <c r="E73" i="65"/>
  <c r="H73" i="65" s="1"/>
  <c r="J73" i="65"/>
  <c r="K73" i="65" s="1"/>
  <c r="J34" i="65"/>
  <c r="K34" i="65" s="1"/>
  <c r="E34" i="65"/>
  <c r="H34" i="65" s="1"/>
  <c r="J104" i="65"/>
  <c r="K104" i="65" s="1"/>
  <c r="E104" i="65"/>
  <c r="H104" i="65" s="1"/>
  <c r="E88" i="65"/>
  <c r="H88" i="65" s="1"/>
  <c r="J88" i="65"/>
  <c r="K88" i="65" s="1"/>
  <c r="J72" i="65"/>
  <c r="K72" i="65" s="1"/>
  <c r="E72" i="65"/>
  <c r="H72" i="65" s="1"/>
  <c r="J56" i="65"/>
  <c r="K56" i="65" s="1"/>
  <c r="E56" i="65"/>
  <c r="H56" i="65" s="1"/>
  <c r="J40" i="65"/>
  <c r="K40" i="65" s="1"/>
  <c r="E40" i="65"/>
  <c r="H40" i="65" s="1"/>
  <c r="J19" i="65"/>
  <c r="K19" i="65" s="1"/>
  <c r="E19" i="65"/>
  <c r="H19" i="65" s="1"/>
  <c r="J25" i="65"/>
  <c r="K25" i="65" s="1"/>
  <c r="E25" i="65"/>
  <c r="H25" i="65" s="1"/>
  <c r="E91" i="65"/>
  <c r="H91" i="65" s="1"/>
  <c r="J91" i="65"/>
  <c r="K91" i="65" s="1"/>
  <c r="E75" i="65"/>
  <c r="H75" i="65" s="1"/>
  <c r="J75" i="65"/>
  <c r="K75" i="65" s="1"/>
  <c r="J59" i="65"/>
  <c r="K59" i="65" s="1"/>
  <c r="E59" i="65"/>
  <c r="H59" i="65" s="1"/>
  <c r="E43" i="65"/>
  <c r="H43" i="65" s="1"/>
  <c r="J43" i="65"/>
  <c r="K43" i="65" s="1"/>
  <c r="J16" i="65"/>
  <c r="K16" i="65" s="1"/>
  <c r="E16" i="65"/>
  <c r="H16" i="65" s="1"/>
  <c r="E21" i="65"/>
  <c r="H21" i="65" s="1"/>
  <c r="J21" i="65"/>
  <c r="K21" i="65" s="1"/>
  <c r="E94" i="65"/>
  <c r="H94" i="65" s="1"/>
  <c r="J94" i="65"/>
  <c r="K94" i="65" s="1"/>
  <c r="E78" i="65"/>
  <c r="H78" i="65" s="1"/>
  <c r="J78" i="65"/>
  <c r="K78" i="65" s="1"/>
  <c r="E62" i="65"/>
  <c r="H62" i="65" s="1"/>
  <c r="J62" i="65"/>
  <c r="K62" i="65" s="1"/>
  <c r="E46" i="65"/>
  <c r="H46" i="65" s="1"/>
  <c r="J46" i="65"/>
  <c r="K46" i="65" s="1"/>
  <c r="E13" i="65"/>
  <c r="H13" i="65" s="1"/>
  <c r="J13" i="65"/>
  <c r="K13" i="65" s="1"/>
  <c r="F104" i="84"/>
  <c r="M104" i="84" s="1"/>
  <c r="F79" i="84"/>
  <c r="M79" i="84" s="1"/>
  <c r="F72" i="84"/>
  <c r="M72" i="84" s="1"/>
  <c r="J4" i="84"/>
  <c r="F51" i="84"/>
  <c r="M51" i="84" s="1"/>
  <c r="F33" i="84"/>
  <c r="F29" i="84"/>
  <c r="F71" i="84"/>
  <c r="M71" i="84" s="1"/>
  <c r="F64" i="84"/>
  <c r="M64" i="84" s="1"/>
  <c r="F41" i="84"/>
  <c r="M41" i="84" s="1"/>
  <c r="F50" i="84"/>
  <c r="M50" i="84" s="1"/>
  <c r="F52" i="84"/>
  <c r="M52" i="84" s="1"/>
  <c r="F15" i="84"/>
  <c r="F98" i="84"/>
  <c r="M98" i="84" s="1"/>
  <c r="F11" i="84"/>
  <c r="F91" i="84"/>
  <c r="M91" i="84" s="1"/>
  <c r="F36" i="84"/>
  <c r="M36" i="84" s="1"/>
  <c r="F100" i="84"/>
  <c r="M100" i="84" s="1"/>
  <c r="E32" i="65"/>
  <c r="H32" i="65" s="1"/>
  <c r="J32" i="65"/>
  <c r="K32" i="65" s="1"/>
  <c r="E49" i="65"/>
  <c r="H49" i="65" s="1"/>
  <c r="J49" i="65"/>
  <c r="K49" i="65" s="1"/>
  <c r="J22" i="65"/>
  <c r="K22" i="65" s="1"/>
  <c r="E22" i="65"/>
  <c r="H22" i="65" s="1"/>
  <c r="J45" i="65"/>
  <c r="K45" i="65" s="1"/>
  <c r="E45" i="65"/>
  <c r="H45" i="65" s="1"/>
  <c r="E29" i="65"/>
  <c r="H29" i="65" s="1"/>
  <c r="J29" i="65"/>
  <c r="K29" i="65" s="1"/>
  <c r="E57" i="65"/>
  <c r="H57" i="65" s="1"/>
  <c r="J57" i="65"/>
  <c r="K57" i="65" s="1"/>
  <c r="E33" i="65"/>
  <c r="H33" i="65" s="1"/>
  <c r="J33" i="65"/>
  <c r="K33" i="65" s="1"/>
  <c r="E100" i="65"/>
  <c r="H100" i="65" s="1"/>
  <c r="J100" i="65"/>
  <c r="K100" i="65" s="1"/>
  <c r="E84" i="65"/>
  <c r="H84" i="65" s="1"/>
  <c r="J84" i="65"/>
  <c r="K84" i="65" s="1"/>
  <c r="E68" i="65"/>
  <c r="H68" i="65" s="1"/>
  <c r="J68" i="65"/>
  <c r="K68" i="65" s="1"/>
  <c r="E52" i="65"/>
  <c r="H52" i="65" s="1"/>
  <c r="J52" i="65"/>
  <c r="K52" i="65" s="1"/>
  <c r="E36" i="65"/>
  <c r="H36" i="65" s="1"/>
  <c r="J36" i="65"/>
  <c r="K36" i="65" s="1"/>
  <c r="J23" i="65"/>
  <c r="K23" i="65" s="1"/>
  <c r="E23" i="65"/>
  <c r="H23" i="65" s="1"/>
  <c r="E103" i="65"/>
  <c r="H103" i="65" s="1"/>
  <c r="J103" i="65"/>
  <c r="K103" i="65" s="1"/>
  <c r="E87" i="65"/>
  <c r="H87" i="65" s="1"/>
  <c r="J87" i="65"/>
  <c r="K87" i="65" s="1"/>
  <c r="E71" i="65"/>
  <c r="H71" i="65" s="1"/>
  <c r="J71" i="65"/>
  <c r="K71" i="65" s="1"/>
  <c r="E55" i="65"/>
  <c r="H55" i="65" s="1"/>
  <c r="J55" i="65"/>
  <c r="K55" i="65" s="1"/>
  <c r="E39" i="65"/>
  <c r="H39" i="65" s="1"/>
  <c r="J39" i="65"/>
  <c r="K39" i="65" s="1"/>
  <c r="J15" i="65"/>
  <c r="K15" i="65" s="1"/>
  <c r="E15" i="65"/>
  <c r="H15" i="65" s="1"/>
  <c r="J30" i="65"/>
  <c r="K30" i="65" s="1"/>
  <c r="E30" i="65"/>
  <c r="H30" i="65" s="1"/>
  <c r="J90" i="65"/>
  <c r="K90" i="65" s="1"/>
  <c r="E90" i="65"/>
  <c r="H90" i="65" s="1"/>
  <c r="E74" i="65"/>
  <c r="H74" i="65" s="1"/>
  <c r="J74" i="65"/>
  <c r="K74" i="65" s="1"/>
  <c r="E58" i="65"/>
  <c r="H58" i="65" s="1"/>
  <c r="J58" i="65"/>
  <c r="K58" i="65" s="1"/>
  <c r="J42" i="65"/>
  <c r="K42" i="65" s="1"/>
  <c r="E42" i="65"/>
  <c r="H42" i="65" s="1"/>
  <c r="E11" i="65"/>
  <c r="H11" i="65" s="1"/>
  <c r="J11" i="65"/>
  <c r="K11" i="65" s="1"/>
  <c r="F70" i="84"/>
  <c r="M70" i="84" s="1"/>
  <c r="F61" i="84"/>
  <c r="M61" i="84" s="1"/>
  <c r="F63" i="84"/>
  <c r="M63" i="84" s="1"/>
  <c r="F45" i="84"/>
  <c r="M45" i="84" s="1"/>
  <c r="F56" i="84"/>
  <c r="M56" i="84" s="1"/>
  <c r="F26" i="84"/>
  <c r="F16" i="84"/>
  <c r="F90" i="84"/>
  <c r="M90" i="84" s="1"/>
  <c r="F13" i="84"/>
  <c r="F99" i="84"/>
  <c r="M99" i="84" s="1"/>
  <c r="F12" i="84"/>
  <c r="F92" i="84"/>
  <c r="M92" i="84" s="1"/>
  <c r="F62" i="84"/>
  <c r="M62" i="84" s="1"/>
  <c r="F37" i="84"/>
  <c r="M37" i="84" s="1"/>
  <c r="F55" i="84"/>
  <c r="M55" i="84" s="1"/>
  <c r="F30" i="84"/>
  <c r="F48" i="84"/>
  <c r="M48" i="84" s="1"/>
  <c r="F22" i="84"/>
  <c r="E97" i="65"/>
  <c r="H97" i="65" s="1"/>
  <c r="J97" i="65"/>
  <c r="K97" i="65" s="1"/>
  <c r="E14" i="65"/>
  <c r="H14" i="65" s="1"/>
  <c r="J14" i="65"/>
  <c r="K14" i="65" s="1"/>
  <c r="J93" i="65"/>
  <c r="K93" i="65" s="1"/>
  <c r="E93" i="65"/>
  <c r="H93" i="65" s="1"/>
  <c r="J10" i="65"/>
  <c r="K10" i="65" s="1"/>
  <c r="E10" i="65"/>
  <c r="H10" i="65" s="1"/>
  <c r="E105" i="65"/>
  <c r="H105" i="65" s="1"/>
  <c r="J105" i="65"/>
  <c r="K105" i="65" s="1"/>
  <c r="E41" i="65"/>
  <c r="H41" i="65" s="1"/>
  <c r="J41" i="65"/>
  <c r="K41" i="65" s="1"/>
  <c r="E26" i="65"/>
  <c r="H26" i="65" s="1"/>
  <c r="J26" i="65"/>
  <c r="K26" i="65" s="1"/>
  <c r="J96" i="65"/>
  <c r="K96" i="65" s="1"/>
  <c r="E96" i="65"/>
  <c r="H96" i="65" s="1"/>
  <c r="J80" i="65"/>
  <c r="K80" i="65" s="1"/>
  <c r="E80" i="65"/>
  <c r="H80" i="65" s="1"/>
  <c r="E64" i="65"/>
  <c r="H64" i="65" s="1"/>
  <c r="J64" i="65"/>
  <c r="K64" i="65" s="1"/>
  <c r="J48" i="65"/>
  <c r="K48" i="65" s="1"/>
  <c r="E48" i="65"/>
  <c r="H48" i="65" s="1"/>
  <c r="J6" i="65"/>
  <c r="E6" i="65"/>
  <c r="F6" i="65" s="1"/>
  <c r="D4" i="65"/>
  <c r="E27" i="65"/>
  <c r="H27" i="65" s="1"/>
  <c r="J27" i="65"/>
  <c r="K27" i="65" s="1"/>
  <c r="E99" i="65"/>
  <c r="H99" i="65" s="1"/>
  <c r="J99" i="65"/>
  <c r="K99" i="65" s="1"/>
  <c r="J83" i="65"/>
  <c r="K83" i="65" s="1"/>
  <c r="E83" i="65"/>
  <c r="H83" i="65" s="1"/>
  <c r="E67" i="65"/>
  <c r="H67" i="65" s="1"/>
  <c r="J67" i="65"/>
  <c r="K67" i="65" s="1"/>
  <c r="E51" i="65"/>
  <c r="H51" i="65" s="1"/>
  <c r="J51" i="65"/>
  <c r="K51" i="65" s="1"/>
  <c r="E8" i="65"/>
  <c r="H8" i="65" s="1"/>
  <c r="J8" i="65"/>
  <c r="K8" i="65" s="1"/>
  <c r="E28" i="65"/>
  <c r="H28" i="65" s="1"/>
  <c r="J28" i="65"/>
  <c r="K28" i="65" s="1"/>
  <c r="E102" i="65"/>
  <c r="H102" i="65" s="1"/>
  <c r="J102" i="65"/>
  <c r="K102" i="65" s="1"/>
  <c r="E86" i="65"/>
  <c r="H86" i="65" s="1"/>
  <c r="J86" i="65"/>
  <c r="K86" i="65" s="1"/>
  <c r="E70" i="65"/>
  <c r="H70" i="65" s="1"/>
  <c r="J70" i="65"/>
  <c r="K70" i="65" s="1"/>
  <c r="E54" i="65"/>
  <c r="H54" i="65" s="1"/>
  <c r="J54" i="65"/>
  <c r="K54" i="65" s="1"/>
  <c r="E38" i="65"/>
  <c r="H38" i="65" s="1"/>
  <c r="J38" i="65"/>
  <c r="K38" i="65" s="1"/>
  <c r="E12" i="65"/>
  <c r="H12" i="65" s="1"/>
  <c r="J12" i="65"/>
  <c r="K12" i="65" s="1"/>
  <c r="F105" i="84"/>
  <c r="M105" i="84" s="1"/>
  <c r="F74" i="84"/>
  <c r="M74" i="84" s="1"/>
  <c r="E4" i="84"/>
  <c r="H6" i="84"/>
  <c r="H4" i="84" s="1"/>
  <c r="F27" i="84"/>
  <c r="AG16" i="76"/>
  <c r="AG15" i="76"/>
  <c r="AG14" i="76"/>
  <c r="AH19" i="76" l="1" a="1"/>
  <c r="O19" i="76" a="1"/>
  <c r="AH18" i="76" a="1"/>
  <c r="O18" i="76" a="1"/>
  <c r="O17" i="76" a="1"/>
  <c r="AH17" i="76" a="1"/>
  <c r="O16" i="76" a="1"/>
  <c r="O14" i="76" a="1"/>
  <c r="AH16" i="76" a="1"/>
  <c r="AH15" i="76" a="1"/>
  <c r="AH14" i="76" a="1"/>
  <c r="O15" i="76" a="1"/>
  <c r="G41" i="76"/>
  <c r="M35" i="76"/>
  <c r="M39" i="76" s="1"/>
  <c r="I6" i="84" s="1"/>
  <c r="I4" i="84" s="1"/>
  <c r="F48" i="65"/>
  <c r="M48" i="65" s="1"/>
  <c r="F55" i="65"/>
  <c r="M55" i="65" s="1"/>
  <c r="F30" i="65"/>
  <c r="F67" i="65"/>
  <c r="M67" i="65" s="1"/>
  <c r="F41" i="65"/>
  <c r="M41" i="65" s="1"/>
  <c r="F80" i="65"/>
  <c r="M80" i="65" s="1"/>
  <c r="F10" i="65"/>
  <c r="F74" i="65"/>
  <c r="M74" i="65" s="1"/>
  <c r="F76" i="65"/>
  <c r="M76" i="65" s="1"/>
  <c r="F28" i="65"/>
  <c r="F11" i="65"/>
  <c r="F43" i="65"/>
  <c r="M43" i="65" s="1"/>
  <c r="F81" i="65"/>
  <c r="M81" i="65" s="1"/>
  <c r="F45" i="65"/>
  <c r="M45" i="65" s="1"/>
  <c r="F101" i="65"/>
  <c r="M101" i="65" s="1"/>
  <c r="G21" i="84"/>
  <c r="F16" i="65"/>
  <c r="F40" i="65"/>
  <c r="F37" i="65"/>
  <c r="M37" i="65" s="1"/>
  <c r="F47" i="65"/>
  <c r="M47" i="65" s="1"/>
  <c r="F89" i="65"/>
  <c r="M89" i="65" s="1"/>
  <c r="G20" i="84"/>
  <c r="F103" i="65"/>
  <c r="M103" i="65" s="1"/>
  <c r="F78" i="65"/>
  <c r="M78" i="65" s="1"/>
  <c r="F72" i="65"/>
  <c r="M72" i="65" s="1"/>
  <c r="F18" i="65"/>
  <c r="F92" i="65"/>
  <c r="M92" i="65" s="1"/>
  <c r="F7" i="65"/>
  <c r="G31" i="84"/>
  <c r="G6" i="65"/>
  <c r="F54" i="65"/>
  <c r="M54" i="65" s="1"/>
  <c r="G28" i="65"/>
  <c r="F83" i="65"/>
  <c r="M83" i="65" s="1"/>
  <c r="J4" i="65"/>
  <c r="F64" i="65"/>
  <c r="M64" i="65" s="1"/>
  <c r="F14" i="65"/>
  <c r="G30" i="84"/>
  <c r="G13" i="84"/>
  <c r="F42" i="65"/>
  <c r="M42" i="65" s="1"/>
  <c r="G30" i="65"/>
  <c r="F71" i="65"/>
  <c r="M71" i="65" s="1"/>
  <c r="F36" i="65"/>
  <c r="M36" i="65" s="1"/>
  <c r="F100" i="65"/>
  <c r="M100" i="65" s="1"/>
  <c r="G33" i="84"/>
  <c r="F13" i="65"/>
  <c r="F94" i="65"/>
  <c r="M94" i="65" s="1"/>
  <c r="F59" i="65"/>
  <c r="F19" i="65"/>
  <c r="F88" i="65"/>
  <c r="M88" i="65" s="1"/>
  <c r="F69" i="65"/>
  <c r="M69" i="65" s="1"/>
  <c r="G23" i="84"/>
  <c r="G18" i="84"/>
  <c r="G9" i="84"/>
  <c r="F50" i="65"/>
  <c r="M50" i="65" s="1"/>
  <c r="F35" i="65"/>
  <c r="F79" i="65"/>
  <c r="M79" i="65" s="1"/>
  <c r="F44" i="65"/>
  <c r="F31" i="65"/>
  <c r="F77" i="65"/>
  <c r="F38" i="65"/>
  <c r="M38" i="65" s="1"/>
  <c r="F102" i="65"/>
  <c r="F26" i="65"/>
  <c r="F93" i="65"/>
  <c r="M93" i="65" s="1"/>
  <c r="G11" i="65"/>
  <c r="F90" i="65"/>
  <c r="M90" i="65" s="1"/>
  <c r="F23" i="65"/>
  <c r="F84" i="65"/>
  <c r="M84" i="65" s="1"/>
  <c r="F29" i="65"/>
  <c r="F32" i="65"/>
  <c r="G15" i="84"/>
  <c r="F25" i="65"/>
  <c r="F73" i="65"/>
  <c r="M73" i="65" s="1"/>
  <c r="F65" i="65"/>
  <c r="M65" i="65" s="1"/>
  <c r="G32" i="84"/>
  <c r="G17" i="84"/>
  <c r="G18" i="65"/>
  <c r="F98" i="65"/>
  <c r="M98" i="65" s="1"/>
  <c r="F63" i="65"/>
  <c r="M63" i="65" s="1"/>
  <c r="G7" i="65"/>
  <c r="F20" i="65"/>
  <c r="F85" i="65"/>
  <c r="M85" i="65" s="1"/>
  <c r="F12" i="65"/>
  <c r="F86" i="65"/>
  <c r="M86" i="65" s="1"/>
  <c r="F51" i="65"/>
  <c r="M51" i="65" s="1"/>
  <c r="F27" i="65"/>
  <c r="F96" i="65"/>
  <c r="M96" i="65" s="1"/>
  <c r="G10" i="65"/>
  <c r="G22" i="84"/>
  <c r="G12" i="84"/>
  <c r="G16" i="84"/>
  <c r="F39" i="65"/>
  <c r="M39" i="65" s="1"/>
  <c r="F68" i="65"/>
  <c r="M68" i="65" s="1"/>
  <c r="F57" i="65"/>
  <c r="M57" i="65" s="1"/>
  <c r="F49" i="65"/>
  <c r="M49" i="65" s="1"/>
  <c r="G29" i="84"/>
  <c r="F62" i="65"/>
  <c r="M62" i="65" s="1"/>
  <c r="G16" i="65"/>
  <c r="F91" i="65"/>
  <c r="M91" i="65" s="1"/>
  <c r="F56" i="65"/>
  <c r="M56" i="65" s="1"/>
  <c r="F34" i="65"/>
  <c r="F53" i="65"/>
  <c r="M53" i="65" s="1"/>
  <c r="G7" i="84"/>
  <c r="G10" i="84"/>
  <c r="F82" i="65"/>
  <c r="M82" i="65" s="1"/>
  <c r="F24" i="65"/>
  <c r="G27" i="84"/>
  <c r="F70" i="65"/>
  <c r="M70" i="65" s="1"/>
  <c r="F8" i="65"/>
  <c r="F99" i="65"/>
  <c r="M99" i="65" s="1"/>
  <c r="H6" i="65"/>
  <c r="H4" i="65" s="1"/>
  <c r="E4" i="65"/>
  <c r="F105" i="65"/>
  <c r="M105" i="65" s="1"/>
  <c r="F97" i="65"/>
  <c r="M97" i="65" s="1"/>
  <c r="G26" i="84"/>
  <c r="F58" i="65"/>
  <c r="M58" i="65" s="1"/>
  <c r="F15" i="65"/>
  <c r="F87" i="65"/>
  <c r="M87" i="65" s="1"/>
  <c r="F52" i="65"/>
  <c r="M52" i="65" s="1"/>
  <c r="F33" i="65"/>
  <c r="F22" i="65"/>
  <c r="G11" i="84"/>
  <c r="F46" i="65"/>
  <c r="M46" i="65" s="1"/>
  <c r="F21" i="65"/>
  <c r="F75" i="65"/>
  <c r="G40" i="65"/>
  <c r="F104" i="65"/>
  <c r="M104" i="65" s="1"/>
  <c r="F61" i="65"/>
  <c r="G28" i="84"/>
  <c r="G34" i="84"/>
  <c r="G8" i="84"/>
  <c r="F66" i="65"/>
  <c r="M66" i="65" s="1"/>
  <c r="F17" i="65"/>
  <c r="F95" i="65"/>
  <c r="M95" i="65" s="1"/>
  <c r="F60" i="65"/>
  <c r="M60" i="65" s="1"/>
  <c r="F9" i="65"/>
  <c r="F4" i="84"/>
  <c r="M40" i="65" l="1"/>
  <c r="M41" i="76"/>
  <c r="L14" i="65"/>
  <c r="M14" i="65" s="1"/>
  <c r="L27" i="65"/>
  <c r="M27" i="65" s="1"/>
  <c r="L9" i="65"/>
  <c r="L11" i="65"/>
  <c r="M11" i="65" s="1"/>
  <c r="L15" i="65"/>
  <c r="L28" i="65"/>
  <c r="M28" i="65" s="1"/>
  <c r="L6" i="65"/>
  <c r="M6" i="65" s="1"/>
  <c r="L26" i="65"/>
  <c r="L20" i="65"/>
  <c r="L25" i="65"/>
  <c r="L30" i="65"/>
  <c r="M30" i="65" s="1"/>
  <c r="L18" i="65"/>
  <c r="M18" i="65" s="1"/>
  <c r="L10" i="65"/>
  <c r="M10" i="65" s="1"/>
  <c r="L12" i="65"/>
  <c r="L22" i="65"/>
  <c r="L29" i="65"/>
  <c r="L32" i="65"/>
  <c r="L31" i="65"/>
  <c r="L7" i="65"/>
  <c r="M7" i="65" s="1"/>
  <c r="L17" i="65"/>
  <c r="L13" i="65"/>
  <c r="L33" i="65"/>
  <c r="L21" i="65"/>
  <c r="L8" i="65"/>
  <c r="L24" i="65"/>
  <c r="L16" i="65"/>
  <c r="M16" i="65" s="1"/>
  <c r="L35" i="65"/>
  <c r="L34" i="65"/>
  <c r="L19" i="65"/>
  <c r="L23" i="65"/>
  <c r="G9" i="65"/>
  <c r="G21" i="65"/>
  <c r="G22" i="65"/>
  <c r="G15" i="65"/>
  <c r="G20" i="65"/>
  <c r="G31" i="65"/>
  <c r="G13" i="65"/>
  <c r="G33" i="65"/>
  <c r="G23" i="65"/>
  <c r="G102" i="65"/>
  <c r="M102" i="65" s="1"/>
  <c r="G44" i="65"/>
  <c r="M44" i="65" s="1"/>
  <c r="G19" i="65"/>
  <c r="G8" i="65"/>
  <c r="G34" i="65"/>
  <c r="G12" i="65"/>
  <c r="G25" i="65"/>
  <c r="G32" i="65"/>
  <c r="G59" i="65"/>
  <c r="M59" i="65"/>
  <c r="G14" i="65"/>
  <c r="F4" i="65"/>
  <c r="G17" i="65"/>
  <c r="G61" i="65"/>
  <c r="M61" i="65"/>
  <c r="G75" i="65"/>
  <c r="M75" i="65"/>
  <c r="G24" i="65"/>
  <c r="G27" i="65"/>
  <c r="G29" i="65"/>
  <c r="G26" i="65"/>
  <c r="G77" i="65"/>
  <c r="M77" i="65"/>
  <c r="G35" i="65"/>
  <c r="M15" i="65" l="1"/>
  <c r="M9" i="65"/>
  <c r="M26" i="65"/>
  <c r="M20" i="65"/>
  <c r="M25" i="65"/>
  <c r="M12" i="65"/>
  <c r="M22" i="65"/>
  <c r="M29" i="65"/>
  <c r="M17" i="65"/>
  <c r="M33" i="65"/>
  <c r="M21" i="65"/>
  <c r="M32" i="65"/>
  <c r="M31" i="65"/>
  <c r="M13" i="65"/>
  <c r="M8" i="65"/>
  <c r="M24" i="65"/>
  <c r="M35" i="65"/>
  <c r="M34" i="65"/>
  <c r="M19" i="65"/>
  <c r="M23" i="65"/>
  <c r="L4" i="65"/>
  <c r="L33" i="84"/>
  <c r="M33" i="84" s="1"/>
  <c r="L11" i="84"/>
  <c r="M11" i="84" s="1"/>
  <c r="L6" i="84"/>
  <c r="L35" i="84"/>
  <c r="M35" i="84" s="1"/>
  <c r="L22" i="84"/>
  <c r="M22" i="84" s="1"/>
  <c r="L10" i="84"/>
  <c r="M10" i="84" s="1"/>
  <c r="L34" i="84"/>
  <c r="M34" i="84" s="1"/>
  <c r="L31" i="84"/>
  <c r="M31" i="84" s="1"/>
  <c r="L8" i="84"/>
  <c r="M8" i="84" s="1"/>
  <c r="L21" i="84"/>
  <c r="M21" i="84" s="1"/>
  <c r="L13" i="84"/>
  <c r="M13" i="84" s="1"/>
  <c r="L9" i="84"/>
  <c r="M9" i="84" s="1"/>
  <c r="L15" i="84"/>
  <c r="M15" i="84" s="1"/>
  <c r="L7" i="84"/>
  <c r="M7" i="84" s="1"/>
  <c r="L12" i="84"/>
  <c r="M12" i="84" s="1"/>
  <c r="L23" i="84"/>
  <c r="M23" i="84" s="1"/>
  <c r="L26" i="84"/>
  <c r="M26" i="84" s="1"/>
  <c r="L18" i="84"/>
  <c r="M18" i="84" s="1"/>
  <c r="L20" i="84"/>
  <c r="M20" i="84" s="1"/>
  <c r="L29" i="84"/>
  <c r="M29" i="84" s="1"/>
  <c r="L16" i="84"/>
  <c r="M16" i="84" s="1"/>
  <c r="L19" i="84"/>
  <c r="M19" i="84" s="1"/>
  <c r="L24" i="84"/>
  <c r="M24" i="84" s="1"/>
  <c r="L28" i="84"/>
  <c r="M28" i="84" s="1"/>
  <c r="L25" i="84"/>
  <c r="M25" i="84" s="1"/>
  <c r="L17" i="84"/>
  <c r="M17" i="84" s="1"/>
  <c r="L27" i="84"/>
  <c r="M27" i="84" s="1"/>
  <c r="L30" i="84"/>
  <c r="M30" i="84" s="1"/>
  <c r="L14" i="84"/>
  <c r="M14" i="84" s="1"/>
  <c r="L32" i="84"/>
  <c r="M32" i="84" s="1"/>
  <c r="N6" i="65"/>
  <c r="M4" i="65" l="1"/>
  <c r="L4" i="84"/>
  <c r="M6" i="84"/>
  <c r="N7" i="65"/>
  <c r="O6" i="65"/>
  <c r="P6" i="65"/>
  <c r="Q6" i="65"/>
  <c r="N6" i="84" l="1"/>
  <c r="M4" i="84"/>
  <c r="O7" i="65"/>
  <c r="N8" i="65"/>
  <c r="Q7" i="65"/>
  <c r="P7" i="65"/>
  <c r="O6" i="84" l="1"/>
  <c r="N7" i="84"/>
  <c r="P6" i="84"/>
  <c r="Q6" i="84"/>
  <c r="O8" i="65"/>
  <c r="N9" i="65"/>
  <c r="P8" i="65"/>
  <c r="Q8" i="65"/>
  <c r="Q7" i="84" l="1"/>
  <c r="P7" i="84"/>
  <c r="N8" i="84"/>
  <c r="O8" i="84" s="1"/>
  <c r="O7" i="84"/>
  <c r="O9" i="65"/>
  <c r="N10" i="65"/>
  <c r="Q9" i="65"/>
  <c r="P9" i="65"/>
  <c r="Q8" i="84" l="1"/>
  <c r="P8" i="84"/>
  <c r="N9" i="84"/>
  <c r="O9" i="84" s="1"/>
  <c r="O10" i="65"/>
  <c r="P10" i="65"/>
  <c r="N11" i="65"/>
  <c r="Q10" i="65"/>
  <c r="P9" i="84" l="1"/>
  <c r="N10" i="84"/>
  <c r="O10" i="84" s="1"/>
  <c r="Q9" i="84"/>
  <c r="O11" i="65"/>
  <c r="P11" i="65"/>
  <c r="N12" i="65"/>
  <c r="Q11" i="65"/>
  <c r="N11" i="84" l="1"/>
  <c r="O11" i="84" s="1"/>
  <c r="Q10" i="84"/>
  <c r="P10" i="84"/>
  <c r="N13" i="65"/>
  <c r="Q12" i="65"/>
  <c r="P12" i="65"/>
  <c r="O12" i="65"/>
  <c r="N12" i="84" l="1"/>
  <c r="O12" i="84" s="1"/>
  <c r="Q11" i="84"/>
  <c r="P11" i="84"/>
  <c r="O13" i="65"/>
  <c r="P13" i="65"/>
  <c r="N14" i="65"/>
  <c r="Q13" i="65"/>
  <c r="P12" i="84" l="1"/>
  <c r="Q12" i="84"/>
  <c r="N13" i="84"/>
  <c r="O13" i="84" s="1"/>
  <c r="N15" i="65"/>
  <c r="P14" i="65"/>
  <c r="Q14" i="65"/>
  <c r="O14" i="65"/>
  <c r="Q13" i="84" l="1"/>
  <c r="P13" i="84"/>
  <c r="N14" i="84"/>
  <c r="O14" i="84" s="1"/>
  <c r="O15" i="65"/>
  <c r="N16" i="65"/>
  <c r="P15" i="65"/>
  <c r="Q15" i="65"/>
  <c r="N15" i="84" l="1"/>
  <c r="O15" i="84" s="1"/>
  <c r="Q14" i="84"/>
  <c r="P14" i="84"/>
  <c r="O16" i="65"/>
  <c r="P16" i="65"/>
  <c r="N17" i="65"/>
  <c r="Q16" i="65"/>
  <c r="N16" i="84" l="1"/>
  <c r="O16" i="84" s="1"/>
  <c r="P15" i="84"/>
  <c r="Q15" i="84"/>
  <c r="N18" i="65"/>
  <c r="Q17" i="65"/>
  <c r="P17" i="65"/>
  <c r="O17" i="65"/>
  <c r="P16" i="84" l="1"/>
  <c r="N17" i="84"/>
  <c r="O17" i="84" s="1"/>
  <c r="Q16" i="84"/>
  <c r="O18" i="65"/>
  <c r="Q18" i="65"/>
  <c r="P18" i="65"/>
  <c r="N19" i="65"/>
  <c r="P17" i="84" l="1"/>
  <c r="Q17" i="84"/>
  <c r="N18" i="84"/>
  <c r="O18" i="84" s="1"/>
  <c r="O19" i="65"/>
  <c r="N20" i="65"/>
  <c r="P19" i="65"/>
  <c r="Q19" i="65"/>
  <c r="Q18" i="84" l="1"/>
  <c r="N19" i="84"/>
  <c r="O19" i="84" s="1"/>
  <c r="P18" i="84"/>
  <c r="N21" i="65"/>
  <c r="O21" i="65" s="1"/>
  <c r="P20" i="65"/>
  <c r="Q20" i="65"/>
  <c r="O20" i="65"/>
  <c r="N20" i="84" l="1"/>
  <c r="O20" i="84" s="1"/>
  <c r="Q19" i="84"/>
  <c r="P19" i="84"/>
  <c r="P21" i="65"/>
  <c r="Q21" i="65"/>
  <c r="N22" i="65"/>
  <c r="O22" i="65" s="1"/>
  <c r="Q20" i="84" l="1"/>
  <c r="N21" i="84"/>
  <c r="O21" i="84" s="1"/>
  <c r="P20" i="84"/>
  <c r="N23" i="65"/>
  <c r="Q22" i="65"/>
  <c r="P22" i="65"/>
  <c r="N22" i="84" l="1"/>
  <c r="O22" i="84" s="1"/>
  <c r="Q21" i="84"/>
  <c r="P21" i="84"/>
  <c r="O23" i="65"/>
  <c r="Q23" i="65"/>
  <c r="N24" i="65"/>
  <c r="P23" i="65"/>
  <c r="Q22" i="84" l="1"/>
  <c r="N23" i="84"/>
  <c r="O23" i="84" s="1"/>
  <c r="P22" i="84"/>
  <c r="O24" i="65"/>
  <c r="P24" i="65"/>
  <c r="Q24" i="65"/>
  <c r="N25" i="65"/>
  <c r="O25" i="65" s="1"/>
  <c r="N24" i="84" l="1"/>
  <c r="O24" i="84" s="1"/>
  <c r="Q23" i="84"/>
  <c r="P23" i="84"/>
  <c r="N26" i="65"/>
  <c r="Q25" i="65"/>
  <c r="P25" i="65"/>
  <c r="P24" i="84" l="1"/>
  <c r="N25" i="84"/>
  <c r="O25" i="84" s="1"/>
  <c r="Q24" i="84"/>
  <c r="O26" i="65"/>
  <c r="Q26" i="65"/>
  <c r="N27" i="65"/>
  <c r="P26" i="65"/>
  <c r="Q25" i="84" l="1"/>
  <c r="N26" i="84"/>
  <c r="O26" i="84" s="1"/>
  <c r="P25" i="84"/>
  <c r="O27" i="65"/>
  <c r="P27" i="65"/>
  <c r="N28" i="65"/>
  <c r="Q27" i="65"/>
  <c r="P26" i="84" l="1"/>
  <c r="Q26" i="84"/>
  <c r="N27" i="84"/>
  <c r="O27" i="84" s="1"/>
  <c r="Q28" i="65"/>
  <c r="N29" i="65"/>
  <c r="O29" i="65" s="1"/>
  <c r="P28" i="65"/>
  <c r="O28" i="65"/>
  <c r="Q27" i="84" l="1"/>
  <c r="P27" i="84"/>
  <c r="N28" i="84"/>
  <c r="O28" i="84" s="1"/>
  <c r="N30" i="65"/>
  <c r="O30" i="65" s="1"/>
  <c r="Q29" i="65"/>
  <c r="P29" i="65"/>
  <c r="Q28" i="84" l="1"/>
  <c r="N29" i="84"/>
  <c r="O29" i="84" s="1"/>
  <c r="P28" i="84"/>
  <c r="N31" i="65"/>
  <c r="Q30" i="65"/>
  <c r="P30" i="65"/>
  <c r="N30" i="84" l="1"/>
  <c r="O30" i="84" s="1"/>
  <c r="P29" i="84"/>
  <c r="Q29" i="84"/>
  <c r="O31" i="65"/>
  <c r="P31" i="65"/>
  <c r="N32" i="65"/>
  <c r="Q31" i="65"/>
  <c r="Q30" i="84" l="1"/>
  <c r="N31" i="84"/>
  <c r="O31" i="84" s="1"/>
  <c r="P30" i="84"/>
  <c r="O32" i="65"/>
  <c r="Q32" i="65"/>
  <c r="P32" i="65"/>
  <c r="N33" i="65"/>
  <c r="O33" i="65" s="1"/>
  <c r="N32" i="84" l="1"/>
  <c r="P31" i="84"/>
  <c r="Q31" i="84"/>
  <c r="P33" i="65"/>
  <c r="Q33" i="65"/>
  <c r="N34" i="65"/>
  <c r="O34" i="65" s="1"/>
  <c r="Q32" i="84" l="1"/>
  <c r="N33" i="84"/>
  <c r="O33" i="84" s="1"/>
  <c r="P32" i="84"/>
  <c r="O32" i="84"/>
  <c r="P34" i="65"/>
  <c r="Q34" i="65"/>
  <c r="N35" i="65"/>
  <c r="O35" i="65" s="1"/>
  <c r="N34" i="84" l="1"/>
  <c r="O34" i="84" s="1"/>
  <c r="Q33" i="84"/>
  <c r="P33" i="84"/>
  <c r="N36" i="65"/>
  <c r="P35" i="65"/>
  <c r="Q35" i="65"/>
  <c r="N35" i="84" l="1"/>
  <c r="Q34" i="84"/>
  <c r="P34" i="84"/>
  <c r="O36" i="65"/>
  <c r="N37" i="65"/>
  <c r="P35" i="84" l="1"/>
  <c r="Q35" i="84"/>
  <c r="N36" i="84"/>
  <c r="O36" i="84" s="1"/>
  <c r="O35" i="84"/>
  <c r="O37" i="65"/>
  <c r="N38" i="65"/>
  <c r="N37" i="84" l="1"/>
  <c r="O37" i="84" s="1"/>
  <c r="O38" i="65"/>
  <c r="N39" i="65"/>
  <c r="N38" i="84" l="1"/>
  <c r="O38" i="84" s="1"/>
  <c r="O39" i="65"/>
  <c r="N40" i="65"/>
  <c r="N39" i="84" l="1"/>
  <c r="O40" i="65"/>
  <c r="N41" i="65"/>
  <c r="N40" i="84" l="1"/>
  <c r="O40" i="84" s="1"/>
  <c r="O39" i="84"/>
  <c r="O41" i="65"/>
  <c r="N42" i="65"/>
  <c r="N41" i="84" l="1"/>
  <c r="O41" i="84" s="1"/>
  <c r="O42" i="65"/>
  <c r="N43" i="65"/>
  <c r="N42" i="84" l="1"/>
  <c r="O42" i="84" s="1"/>
  <c r="O43" i="65"/>
  <c r="N44" i="65"/>
  <c r="N43" i="84" l="1"/>
  <c r="N44" i="84" s="1"/>
  <c r="O44" i="65"/>
  <c r="N45" i="65"/>
  <c r="O44" i="84" l="1"/>
  <c r="N45" i="84"/>
  <c r="O45" i="84" s="1"/>
  <c r="O43" i="84"/>
  <c r="O45" i="65"/>
  <c r="N46" i="65"/>
  <c r="N46" i="84" l="1"/>
  <c r="O46" i="65"/>
  <c r="N47" i="65"/>
  <c r="N47" i="84" l="1"/>
  <c r="O47" i="84" s="1"/>
  <c r="O46" i="84"/>
  <c r="O47" i="65"/>
  <c r="N48" i="65"/>
  <c r="N48" i="84" l="1"/>
  <c r="O48" i="84" s="1"/>
  <c r="N49" i="65"/>
  <c r="O49" i="65" s="1"/>
  <c r="O48" i="65"/>
  <c r="N49" i="84" l="1"/>
  <c r="O49" i="84" s="1"/>
  <c r="N50" i="65"/>
  <c r="O50" i="65" s="1"/>
  <c r="N50" i="84" l="1"/>
  <c r="O50" i="84" s="1"/>
  <c r="N51" i="65"/>
  <c r="N52" i="65" s="1"/>
  <c r="N51" i="84" l="1"/>
  <c r="O51" i="84" s="1"/>
  <c r="O51" i="65"/>
  <c r="O52" i="65"/>
  <c r="N53" i="65"/>
  <c r="N52" i="84" l="1"/>
  <c r="O52" i="84" s="1"/>
  <c r="O53" i="65"/>
  <c r="N54" i="65"/>
  <c r="N53" i="84" l="1"/>
  <c r="O53" i="84" s="1"/>
  <c r="O54" i="65"/>
  <c r="N55" i="65"/>
  <c r="N54" i="84" l="1"/>
  <c r="O54" i="84" s="1"/>
  <c r="O55" i="65"/>
  <c r="N56" i="65"/>
  <c r="N55" i="84" l="1"/>
  <c r="O55" i="84" s="1"/>
  <c r="O56" i="65"/>
  <c r="N57" i="65"/>
  <c r="N56" i="84" l="1"/>
  <c r="O56" i="84" s="1"/>
  <c r="O57" i="65"/>
  <c r="N58" i="65"/>
  <c r="N57" i="84" l="1"/>
  <c r="O57" i="84" s="1"/>
  <c r="O58" i="65"/>
  <c r="N59" i="65"/>
  <c r="N58" i="84" l="1"/>
  <c r="O58" i="84" s="1"/>
  <c r="O59" i="65"/>
  <c r="N60" i="65"/>
  <c r="N59" i="84" l="1"/>
  <c r="O59" i="84" s="1"/>
  <c r="O60" i="65"/>
  <c r="N61" i="65"/>
  <c r="N62" i="65" s="1"/>
  <c r="N60" i="84" l="1"/>
  <c r="O61" i="65"/>
  <c r="O62" i="65"/>
  <c r="N63" i="65"/>
  <c r="N61" i="84" l="1"/>
  <c r="O60" i="84"/>
  <c r="O63" i="65"/>
  <c r="N64" i="65"/>
  <c r="N62" i="84" l="1"/>
  <c r="O62" i="84" s="1"/>
  <c r="O61" i="84"/>
  <c r="O64" i="65"/>
  <c r="N65" i="65"/>
  <c r="N63" i="84" l="1"/>
  <c r="N64" i="84" s="1"/>
  <c r="O65" i="65"/>
  <c r="N66" i="65"/>
  <c r="O63" i="84" l="1"/>
  <c r="O64" i="84"/>
  <c r="N65" i="84"/>
  <c r="O66" i="65"/>
  <c r="N67" i="65"/>
  <c r="O65" i="84" l="1"/>
  <c r="N66" i="84"/>
  <c r="O67" i="65"/>
  <c r="N68" i="65"/>
  <c r="O66" i="84" l="1"/>
  <c r="N67" i="84"/>
  <c r="O68" i="65"/>
  <c r="N69" i="65"/>
  <c r="O67" i="84" l="1"/>
  <c r="N68" i="84"/>
  <c r="O69" i="65"/>
  <c r="N70" i="65"/>
  <c r="O68" i="84" l="1"/>
  <c r="N69" i="84"/>
  <c r="O70" i="65"/>
  <c r="N71" i="65"/>
  <c r="O71" i="65" s="1"/>
  <c r="O69" i="84" l="1"/>
  <c r="N70" i="84"/>
  <c r="N72" i="65"/>
  <c r="O72" i="65" s="1"/>
  <c r="O70" i="84" l="1"/>
  <c r="N71" i="84"/>
  <c r="N73" i="65"/>
  <c r="O73" i="65" s="1"/>
  <c r="O71" i="84" l="1"/>
  <c r="N72" i="84"/>
  <c r="N74" i="65"/>
  <c r="O74" i="65" s="1"/>
  <c r="O72" i="84" l="1"/>
  <c r="N73" i="84"/>
  <c r="N74" i="84" s="1"/>
  <c r="N75" i="65"/>
  <c r="O75" i="65" s="1"/>
  <c r="O73" i="84" l="1"/>
  <c r="O74" i="84"/>
  <c r="N75" i="84"/>
  <c r="N76" i="65"/>
  <c r="N77" i="65" s="1"/>
  <c r="O75" i="84" l="1"/>
  <c r="N76" i="84"/>
  <c r="O76" i="65"/>
  <c r="O77" i="65"/>
  <c r="N78" i="65"/>
  <c r="O76" i="84" l="1"/>
  <c r="N77" i="84"/>
  <c r="O78" i="65"/>
  <c r="N79" i="65"/>
  <c r="O79" i="65" s="1"/>
  <c r="O77" i="84" l="1"/>
  <c r="N78" i="84"/>
  <c r="N80" i="65"/>
  <c r="O80" i="65" s="1"/>
  <c r="O78" i="84" l="1"/>
  <c r="N79" i="84"/>
  <c r="N80" i="84" s="1"/>
  <c r="N81" i="65"/>
  <c r="N82" i="65" s="1"/>
  <c r="O80" i="84" l="1"/>
  <c r="N81" i="84"/>
  <c r="O79" i="84"/>
  <c r="O81" i="65"/>
  <c r="O82" i="65"/>
  <c r="N83" i="65"/>
  <c r="O81" i="84" l="1"/>
  <c r="N82" i="84"/>
  <c r="O83" i="65"/>
  <c r="N84" i="65"/>
  <c r="O82" i="84" l="1"/>
  <c r="N83" i="84"/>
  <c r="O84" i="65"/>
  <c r="N85" i="65"/>
  <c r="O83" i="84" l="1"/>
  <c r="N84" i="84"/>
  <c r="O85" i="65"/>
  <c r="N86" i="65"/>
  <c r="O84" i="84" l="1"/>
  <c r="N85" i="84"/>
  <c r="O86" i="65"/>
  <c r="N87" i="65"/>
  <c r="O85" i="84" l="1"/>
  <c r="N86" i="84"/>
  <c r="O87" i="65"/>
  <c r="N88" i="65"/>
  <c r="O86" i="84" l="1"/>
  <c r="N87" i="84"/>
  <c r="O88" i="65"/>
  <c r="N89" i="65"/>
  <c r="O89" i="65" s="1"/>
  <c r="O87" i="84" l="1"/>
  <c r="N88" i="84"/>
  <c r="N90" i="65"/>
  <c r="O90" i="65" s="1"/>
  <c r="O88" i="84" l="1"/>
  <c r="N89" i="84"/>
  <c r="N91" i="65"/>
  <c r="N92" i="65" s="1"/>
  <c r="O89" i="84" l="1"/>
  <c r="N90" i="84"/>
  <c r="O91" i="65"/>
  <c r="O92" i="65"/>
  <c r="N93" i="65"/>
  <c r="O90" i="84" l="1"/>
  <c r="N91" i="84"/>
  <c r="O93" i="65"/>
  <c r="N94" i="65"/>
  <c r="O91" i="84" l="1"/>
  <c r="N92" i="84"/>
  <c r="O94" i="65"/>
  <c r="N95" i="65"/>
  <c r="O95" i="65" s="1"/>
  <c r="O92" i="84" l="1"/>
  <c r="N93" i="84"/>
  <c r="N96" i="65"/>
  <c r="N97" i="65" s="1"/>
  <c r="O93" i="84" l="1"/>
  <c r="N94" i="84"/>
  <c r="O96" i="65"/>
  <c r="O97" i="65"/>
  <c r="N98" i="65"/>
  <c r="O98" i="65" s="1"/>
  <c r="O94" i="84" l="1"/>
  <c r="N95" i="84"/>
  <c r="N99" i="65"/>
  <c r="O99" i="65" s="1"/>
  <c r="O95" i="84" l="1"/>
  <c r="N96" i="84"/>
  <c r="N100" i="65"/>
  <c r="N101" i="65" s="1"/>
  <c r="O96" i="84" l="1"/>
  <c r="N97" i="84"/>
  <c r="O100" i="65"/>
  <c r="O101" i="65"/>
  <c r="N102" i="65"/>
  <c r="O97" i="84" l="1"/>
  <c r="N98" i="84"/>
  <c r="O4" i="65"/>
  <c r="D53" i="76" s="1"/>
  <c r="O102" i="65"/>
  <c r="N103" i="65"/>
  <c r="O98" i="84" l="1"/>
  <c r="N99" i="84"/>
  <c r="O103" i="65"/>
  <c r="N104" i="65"/>
  <c r="O99" i="84" l="1"/>
  <c r="N100" i="84"/>
  <c r="O104" i="65"/>
  <c r="N105" i="65"/>
  <c r="N4" i="65" s="1"/>
  <c r="O100" i="84" l="1"/>
  <c r="N101" i="84"/>
  <c r="O105" i="65"/>
  <c r="O101" i="84" l="1"/>
  <c r="O4" i="84" s="1"/>
  <c r="K53" i="76" s="1"/>
  <c r="N102" i="84"/>
  <c r="O102" i="84" l="1"/>
  <c r="N103" i="84"/>
  <c r="O103" i="84" l="1"/>
  <c r="N104" i="84"/>
  <c r="O104" i="84" l="1"/>
  <c r="N105" i="84"/>
  <c r="N4" i="84" l="1"/>
  <c r="O105" i="8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tc={75A7E340-4F29-43ED-AE85-999A42B5E75B}</author>
  </authors>
  <commentList>
    <comment ref="O51" authorId="0" shapeId="0" xr:uid="{75A7E340-4F29-43ED-AE85-999A42B5E75B}">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Erst Q1 und Q2 enthalten</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<sst xmlns="http://schemas.openxmlformats.org/spreadsheetml/2006/main" count="1698" uniqueCount="557">
  <si>
    <t>Adresse</t>
  </si>
  <si>
    <t>Jahr</t>
  </si>
  <si>
    <t>[kWh]</t>
  </si>
  <si>
    <t>Standort</t>
  </si>
  <si>
    <t>Eigennutzungsgrad</t>
  </si>
  <si>
    <t>%</t>
  </si>
  <si>
    <t>Degradation 
[%]</t>
  </si>
  <si>
    <t>Degradation pro Jahr</t>
  </si>
  <si>
    <t>% / Jahr</t>
  </si>
  <si>
    <t>Jahres Energieertrag
[kWh]</t>
  </si>
  <si>
    <t>Rückzahlung Einspeisung [CHF]</t>
  </si>
  <si>
    <t>Eigenverbrauch
[kWh]</t>
  </si>
  <si>
    <t>Eingesparter Bezug
[CHF]</t>
  </si>
  <si>
    <t>Cash Flow netto
[CHF]</t>
  </si>
  <si>
    <t>Kapital Entwicklung [CHF]</t>
  </si>
  <si>
    <t>Summe</t>
  </si>
  <si>
    <t>Payback
[nach Jahren]</t>
  </si>
  <si>
    <t>Amortisationszeit</t>
  </si>
  <si>
    <t>Kapital neg Entwicklung [CHF]</t>
  </si>
  <si>
    <t>Kapital pos Entwicklung [CHF]</t>
  </si>
  <si>
    <t>Bezeichnung</t>
  </si>
  <si>
    <t>Total</t>
  </si>
  <si>
    <t>Betriebsjahr</t>
  </si>
  <si>
    <t>[kWp]</t>
  </si>
  <si>
    <t>Projektname</t>
  </si>
  <si>
    <t>Gebäudeadresse</t>
  </si>
  <si>
    <t>Projektinformationen</t>
  </si>
  <si>
    <t>Netzversorger</t>
  </si>
  <si>
    <t>Leistung</t>
  </si>
  <si>
    <t>Investition</t>
  </si>
  <si>
    <t>Rückliefertarif</t>
  </si>
  <si>
    <t>CHF</t>
  </si>
  <si>
    <t>Rp./kWh</t>
  </si>
  <si>
    <t>Kapitalverzinsung</t>
  </si>
  <si>
    <t>Az.</t>
  </si>
  <si>
    <t>Neig.</t>
  </si>
  <si>
    <t>[Stk.]</t>
  </si>
  <si>
    <t>[Wp]</t>
  </si>
  <si>
    <t>Jahre</t>
  </si>
  <si>
    <t>Anlagekosten</t>
  </si>
  <si>
    <t>Anhang</t>
  </si>
  <si>
    <t>Modulleistung</t>
  </si>
  <si>
    <t>PV-Generator</t>
  </si>
  <si>
    <t>Modulorientierung</t>
  </si>
  <si>
    <t>Raster Azimut</t>
  </si>
  <si>
    <t>Raster Neigung</t>
  </si>
  <si>
    <t>°</t>
  </si>
  <si>
    <t>Länge</t>
  </si>
  <si>
    <t>Breite</t>
  </si>
  <si>
    <t>Randabstand</t>
  </si>
  <si>
    <t>Wp</t>
  </si>
  <si>
    <t>m</t>
  </si>
  <si>
    <t>CHF/kWp</t>
  </si>
  <si>
    <t>ewl</t>
  </si>
  <si>
    <t>Systemdienstleistung</t>
  </si>
  <si>
    <t>KEV Abgabe</t>
  </si>
  <si>
    <t>Ersatztarif</t>
  </si>
  <si>
    <t>kWh/kWp</t>
  </si>
  <si>
    <t>Süd = 0° / Ost -90° / West 90° / Nord +/- 180°</t>
  </si>
  <si>
    <t>0° = Horizontal / 90° = Vertikal (Fassade)</t>
  </si>
  <si>
    <t>Bogenmass</t>
  </si>
  <si>
    <t>Abstandsfaktor</t>
  </si>
  <si>
    <t>Neigung (Bogenmass)</t>
  </si>
  <si>
    <t>Dachneigung in Hauptrichtung (Bogenmass)</t>
  </si>
  <si>
    <t>Dachneigung in Hauptrichtung (Grad)</t>
  </si>
  <si>
    <t>Ausrichtung (Bogenmass)</t>
  </si>
  <si>
    <t>Angaben Dachfläche</t>
  </si>
  <si>
    <t>Orient.</t>
  </si>
  <si>
    <t>Zeilenabstand</t>
  </si>
  <si>
    <t>Spaltenabstand</t>
  </si>
  <si>
    <t>Rechenwert</t>
  </si>
  <si>
    <t>in Richtung (Grad)</t>
  </si>
  <si>
    <t>Berechneter Faktor</t>
  </si>
  <si>
    <t>[m]</t>
  </si>
  <si>
    <t>Abstände auf geneigter Dachfläche</t>
  </si>
  <si>
    <t>Nach Osten</t>
  </si>
  <si>
    <t>Nach Norden</t>
  </si>
  <si>
    <t>Nach Westen</t>
  </si>
  <si>
    <t>Objekt</t>
  </si>
  <si>
    <t>Nr.</t>
  </si>
  <si>
    <t>Bezeichnung Teilfläche</t>
  </si>
  <si>
    <t>PLZ Ort</t>
  </si>
  <si>
    <t>Stk.</t>
  </si>
  <si>
    <t>Spezifischer Jahresertrag</t>
  </si>
  <si>
    <t>Hochformat</t>
  </si>
  <si>
    <t>Querformat</t>
  </si>
  <si>
    <t>Eingabewert</t>
  </si>
  <si>
    <t>Unterhaltskosten
[CHF]</t>
  </si>
  <si>
    <t>Auszahlung Förderbeitrag [CHF]</t>
  </si>
  <si>
    <t>Auszahlungszeitraum</t>
  </si>
  <si>
    <t>Zinskosten
[CHF]</t>
  </si>
  <si>
    <t>PV-Leistung</t>
  </si>
  <si>
    <t>Ertragsdaten</t>
  </si>
  <si>
    <t>Wirtschaftlichkeit bei Ausführung Maximalbelegung</t>
  </si>
  <si>
    <t>Höhe</t>
  </si>
  <si>
    <t>Ausrichtungskorrigierter Spezifischer Ertrag</t>
  </si>
  <si>
    <t>Benutzerdefinierter Wert (Durch Bauherrschaft zu belegen)</t>
  </si>
  <si>
    <t>kWh/kWp/a</t>
  </si>
  <si>
    <t>Parameter Wirtschaftlichkeitsrechnung</t>
  </si>
  <si>
    <t>Ausführungsvariante</t>
  </si>
  <si>
    <t>Fläche</t>
  </si>
  <si>
    <t>[m2]</t>
  </si>
  <si>
    <t>kWp</t>
  </si>
  <si>
    <t>kWh/m2</t>
  </si>
  <si>
    <t>Einheit</t>
  </si>
  <si>
    <t>Spezfischer Jahresertrag Rechenwert</t>
  </si>
  <si>
    <t>Standardeinstrahlung</t>
  </si>
  <si>
    <t>Total Rückspeisung</t>
  </si>
  <si>
    <t>Produkt Energiebezug</t>
  </si>
  <si>
    <t>Leistung PV</t>
  </si>
  <si>
    <t>Ausführung</t>
  </si>
  <si>
    <t>CHF/Modul</t>
  </si>
  <si>
    <t>Nachweis Einstrahlungswert auf horizontale Fläche (Tabellenblatt Datengrundlage)</t>
  </si>
  <si>
    <t>Bez.</t>
  </si>
  <si>
    <t>Basiswerte und Berechnungsgrundlagen</t>
  </si>
  <si>
    <t>Wert</t>
  </si>
  <si>
    <t>Quelle</t>
  </si>
  <si>
    <t>Wetterstation Luzern</t>
  </si>
  <si>
    <t>Tarife Energieversorger exkl. MWSt.</t>
  </si>
  <si>
    <t>Rückliefertarif Referenz</t>
  </si>
  <si>
    <t>Rahmenbedingungen Wirtschaftlichkeit</t>
  </si>
  <si>
    <t>Anlagelebensdauer (für Grafik)</t>
  </si>
  <si>
    <t>Ausrichtung Blendgefahr</t>
  </si>
  <si>
    <t>Dokumenttitel</t>
  </si>
  <si>
    <t>MWSt. Satz</t>
  </si>
  <si>
    <t>Berechnung</t>
  </si>
  <si>
    <t>Basisdaten</t>
  </si>
  <si>
    <t>Faktor MWSt.</t>
  </si>
  <si>
    <t>Zulässige Amortisationszeit</t>
  </si>
  <si>
    <t>Förderung pronovo</t>
  </si>
  <si>
    <t>Förderung Stadt</t>
  </si>
  <si>
    <t>Fördersumme</t>
  </si>
  <si>
    <t>der Gesamtinvestition</t>
  </si>
  <si>
    <t>Gesetzgeber</t>
  </si>
  <si>
    <t>HKN Tarif Schwellwert</t>
  </si>
  <si>
    <t>kVA</t>
  </si>
  <si>
    <t>Hilfszeile</t>
  </si>
  <si>
    <t>Formularversion</t>
  </si>
  <si>
    <t>Bedienung</t>
  </si>
  <si>
    <t xml:space="preserve">Sämtliche grün eingefärbte Zellen sind Basisdaten, die regelmässig angepasst werden sollen / dürfen. </t>
  </si>
  <si>
    <t xml:space="preserve">Weisse Zellen und die Struktur des Tabellenblattes dürfen nicht bearbeitet werden. </t>
  </si>
  <si>
    <t>Violette Zellen sollen nur bei strukturellem Bedarf bearbeitet werden.</t>
  </si>
  <si>
    <t>(+/- Abweichung von Norden 180°/-180°)</t>
  </si>
  <si>
    <t>Pflichtfeld</t>
  </si>
  <si>
    <t>Einstrahlung horizontale Fläche</t>
  </si>
  <si>
    <t>Neigung/Azimut</t>
  </si>
  <si>
    <t>Als Annahme wird die mittlere Einstrahlung auf die horizontale Fläche der Stadt Luzern verwendet. Die Strahlungsdaten auf die horizontale Fläche können vom Antragsteller überschrieben werden z.B. wenn der Horizont am Standort wesentlich vom Mittelwert abweicht. Die Angaben können in kWh/m2 oder in kWh/kWp (Auswahlliste) angegeben werden. Als Nachweis können Datenquellen wie beispielsweise der kantonale Solarkataster oder Meteodaten aus einer zuverlässigen Meteodatenbank angegeben werden.</t>
  </si>
  <si>
    <t>EIV Pauschalbeitrag 2-5 kWp</t>
  </si>
  <si>
    <t>Letzte Revision</t>
  </si>
  <si>
    <t>Nächste Revision</t>
  </si>
  <si>
    <t>Eigenschaften Standardmodul</t>
  </si>
  <si>
    <t>Modulbezeichnung</t>
  </si>
  <si>
    <t>Modulpreis</t>
  </si>
  <si>
    <t>CHF/Stk.</t>
  </si>
  <si>
    <t>Solarmarkt (Kosten +20% Marge)</t>
  </si>
  <si>
    <t>Förderbeitrag PV-Anlage Pronovo</t>
  </si>
  <si>
    <t>Referenzkosten PV-Anlagen</t>
  </si>
  <si>
    <t>Suchbegriff:</t>
  </si>
  <si>
    <t>Verordnung 730.03 über die Förderung der Produktion von Elektrizität aus erneuerbaren Energien (Energieförderungsverordnung, EnFV)</t>
  </si>
  <si>
    <t>unten: Statistische Verteilung der spezifischen Kosten</t>
  </si>
  <si>
    <t>Globalstrahlung in Abhängigkeit der geografischen Ausrichtung</t>
  </si>
  <si>
    <t xml:space="preserve">Aus: </t>
  </si>
  <si>
    <t>"Photovoltaikanlagen Planung | Installation | Betrieb", Seite 89,  Christoph Bucher, ISBN: 978-3-905711-62-2</t>
  </si>
  <si>
    <t>Letzte Aktualisierung</t>
  </si>
  <si>
    <t>Aktualisierungs Intervall</t>
  </si>
  <si>
    <t>Referenz</t>
  </si>
  <si>
    <t>Bei Neudefinition bzw. gültigem Stand der Technikpapier Blendung von Energie Schweiz</t>
  </si>
  <si>
    <t>jährlich</t>
  </si>
  <si>
    <t>Überarbeitung</t>
  </si>
  <si>
    <t>Prüfen</t>
  </si>
  <si>
    <t>Aktualisieren</t>
  </si>
  <si>
    <t>(Energieförderungsverordnung, EnFV)</t>
  </si>
  <si>
    <t>halbjährlich</t>
  </si>
  <si>
    <t>https://www.fedlex.admin.ch/eli/cc/2017/766/de#annex_2_1/lvl_u1/lvl_2</t>
  </si>
  <si>
    <t>Anhang 2.1, Absatz 2.9</t>
  </si>
  <si>
    <t>https://www.ckw.ch/energie/strom/ruecklieferverguetung#die-ruecklieferverguetung</t>
  </si>
  <si>
    <t>https://www.ewl-luzern.ch/privatkunden/energie/strom/selber-produzieren/stromruecklieferung/</t>
  </si>
  <si>
    <t>Farbcode Eingabefelder:</t>
  </si>
  <si>
    <t>Förderbeitrag der Stadt Luzern</t>
  </si>
  <si>
    <t>Spezifischer Jahresertrag der Teilfläche</t>
  </si>
  <si>
    <t>1 Jahr</t>
  </si>
  <si>
    <t>Nach Bedarf</t>
  </si>
  <si>
    <t>Revision jährlich per Anfang Dezember</t>
  </si>
  <si>
    <t>ckw 2022</t>
  </si>
  <si>
    <t>ckw 2023</t>
  </si>
  <si>
    <t>ewl 2024</t>
  </si>
  <si>
    <t>Gemeindeabgaben + Stromreserve</t>
  </si>
  <si>
    <t>ckw 2024</t>
  </si>
  <si>
    <t xml:space="preserve"> </t>
  </si>
  <si>
    <t>bei ckw Rückwirkend!</t>
  </si>
  <si>
    <t>https://www.bfe.admin.ch/bfe/de/home/foerderung/erneuerbare-energien/einspeiseverguetung.html/</t>
  </si>
  <si>
    <t>https://www.ckw.ch/energie/strom/stromprodukte/privat</t>
  </si>
  <si>
    <t>Limit für höhere oder tiefere HKN Vergütung</t>
  </si>
  <si>
    <t>https://www.bwo.admin.ch/bwo/de/home/mietrecht/referenzzinssatz.html</t>
  </si>
  <si>
    <t>Erforderliche Beilagen</t>
  </si>
  <si>
    <t>Berechnung 3 jahresdurchschnitt (Exkl. MWSt.)
(Einträge ältestes Jahr ersetzen)</t>
  </si>
  <si>
    <t>Kosten</t>
  </si>
  <si>
    <r>
      <t>MeinRegioStrom</t>
    </r>
    <r>
      <rPr>
        <sz val="9.5"/>
        <rFont val="Arial"/>
        <family val="2"/>
        <scheme val="minor"/>
      </rPr>
      <t xml:space="preserve"> Ø 3 Jahre</t>
    </r>
  </si>
  <si>
    <r>
      <t xml:space="preserve">ewl Naturstrom </t>
    </r>
    <r>
      <rPr>
        <sz val="9.5"/>
        <color theme="1"/>
        <rFont val="Calibri"/>
        <family val="2"/>
      </rPr>
      <t>Ø 3 Jahre</t>
    </r>
  </si>
  <si>
    <t>HKN</t>
  </si>
  <si>
    <t xml:space="preserve">HKN </t>
  </si>
  <si>
    <t>ewl 2025</t>
  </si>
  <si>
    <t>Konzessionsabgabe Luzern + Winterreserve</t>
  </si>
  <si>
    <t>https://pubdb.bfe.admin.ch/de/suche?keywords=&amp;q=Photovoltaikmarkt&amp;from=&amp;to=&amp;nr=</t>
  </si>
  <si>
    <t>Var Kosten</t>
  </si>
  <si>
    <t>Fest Kosten</t>
  </si>
  <si>
    <t>Energiebezug EVU</t>
  </si>
  <si>
    <t>Netznutzung EVU</t>
  </si>
  <si>
    <t>EIV Pauschalbeitrag &gt; 5 kWp</t>
  </si>
  <si>
    <t>Anlageleistung ab</t>
  </si>
  <si>
    <t>bis</t>
  </si>
  <si>
    <t>gültig bei IBS ab</t>
  </si>
  <si>
    <t>Neigungswinkelbonus</t>
  </si>
  <si>
    <t xml:space="preserve">der EIV auf die gesamte Anlageleistung nach kEnG </t>
  </si>
  <si>
    <t>vermasste Pläne Teildach mit Modullayout Var. Gesetzliches Minimum (inkl. Bezeichnung, Fläche, Azimut &amp; Neigung)</t>
  </si>
  <si>
    <r>
      <t>CHF/m</t>
    </r>
    <r>
      <rPr>
        <vertAlign val="superscript"/>
        <sz val="11"/>
        <color theme="1"/>
        <rFont val="Arial"/>
        <family val="2"/>
        <scheme val="minor"/>
      </rPr>
      <t>2</t>
    </r>
  </si>
  <si>
    <t>Fassadenbonus Bund</t>
  </si>
  <si>
    <t>Föderbeitrag Bund Total</t>
  </si>
  <si>
    <t>Föderbeitrag Stadt (EF)</t>
  </si>
  <si>
    <t>Steil</t>
  </si>
  <si>
    <t>Förderbeitrag Stadt Total</t>
  </si>
  <si>
    <t>Förderzuschläge</t>
  </si>
  <si>
    <t>Fassadenbonus pronovo</t>
  </si>
  <si>
    <t>Parkplatzbonus pronovo</t>
  </si>
  <si>
    <t>Parkplatzbonus</t>
  </si>
  <si>
    <t>Parkplatzbonus Bund</t>
  </si>
  <si>
    <t>Tarifblatt Rückspeisevergütung Ø 3 Jahre</t>
  </si>
  <si>
    <t>Einkaufspreis</t>
  </si>
  <si>
    <t>pro</t>
  </si>
  <si>
    <t>%/25J</t>
  </si>
  <si>
    <t>ckw 2026</t>
  </si>
  <si>
    <t>ewl 2026</t>
  </si>
  <si>
    <t>Einmalvergütung durch Pronovo ohne div. Bonus</t>
  </si>
  <si>
    <t>Breite (blendarm)</t>
  </si>
  <si>
    <t>Modulpreis (blendarm)</t>
  </si>
  <si>
    <t>Eigenschaften blendarmes Modul</t>
  </si>
  <si>
    <t>Modulbezeichnung (blendarm)</t>
  </si>
  <si>
    <t>Modulleistung (blendarm)</t>
  </si>
  <si>
    <t>Länge (blendarm)</t>
  </si>
  <si>
    <t>Aufpreis blendarm</t>
  </si>
  <si>
    <t>Leistungsgarantie Lieferant (blendarm)</t>
  </si>
  <si>
    <t>Leistungsgarantie Lieferant</t>
  </si>
  <si>
    <t>Leistungsgarantie % nach 25 J.</t>
  </si>
  <si>
    <t>Leistungsgarantie % nach 25 J. (blendarm)</t>
  </si>
  <si>
    <t>ckw 2025</t>
  </si>
  <si>
    <t>Versionsverlauf</t>
  </si>
  <si>
    <t>V2.5</t>
  </si>
  <si>
    <t>V2.4</t>
  </si>
  <si>
    <t>Anpassung auf Rückliefertarif nach EnV
Wurde nicht freigegeben. Stadt entscheidet, welcher Tarif für Wirtschaftlichkeit verwendet werden soll.</t>
  </si>
  <si>
    <t>Anpassung Förderbeitrag Nord (bleibt Nord) von 625.- auf 300.-
Vollständiger Rückliefertarif ckw für 2025</t>
  </si>
  <si>
    <t>V3_Beta</t>
  </si>
  <si>
    <t>Dachtyp</t>
  </si>
  <si>
    <t>Parkplatz</t>
  </si>
  <si>
    <t>Förderung</t>
  </si>
  <si>
    <t>Eigenschaften UK Schrägdach</t>
  </si>
  <si>
    <t>Eigenschaften UK Flachdach</t>
  </si>
  <si>
    <t>Photovoltaikmarkt Beobachtungsstudie (Anhang)</t>
  </si>
  <si>
    <t>Prio</t>
  </si>
  <si>
    <t>ab 100kWp</t>
  </si>
  <si>
    <t>ab 75° Neigung</t>
  </si>
  <si>
    <t>https://www.fedlex.admin.ch/eli/cc/2017/766/de</t>
  </si>
  <si>
    <t>Reflektion</t>
  </si>
  <si>
    <t>Anpassungen neue EnFV:
- Teilflächen als SD, FD, PP
- Ref. Kosten pro Teilfläche (nur für wirtschaftliche Anlage)
- Reflektion muss geklärt werden
- Einstrahlungswerte bei Flachdach: Mittelwert beider Ausrichtungen</t>
  </si>
  <si>
    <t>DB_EN_SoliTek_BLACKSTAR_Satin_445W</t>
  </si>
  <si>
    <t>Mehrkosten blendarm</t>
  </si>
  <si>
    <t>Aufpreis blendfreie Module</t>
  </si>
  <si>
    <t>Projekttyp</t>
  </si>
  <si>
    <t>Neubau</t>
  </si>
  <si>
    <t>Sanierung</t>
  </si>
  <si>
    <t>V3_Beta2</t>
  </si>
  <si>
    <t>Typ</t>
  </si>
  <si>
    <t>Blend</t>
  </si>
  <si>
    <t>krit</t>
  </si>
  <si>
    <t>unk</t>
  </si>
  <si>
    <t>offen</t>
  </si>
  <si>
    <r>
      <t>Reflektionen klären! (</t>
    </r>
    <r>
      <rPr>
        <b/>
        <sz val="11"/>
        <color theme="1"/>
        <rFont val="Arial"/>
        <family val="2"/>
        <scheme val="minor"/>
      </rPr>
      <t>unk</t>
    </r>
    <r>
      <rPr>
        <sz val="10"/>
        <color theme="1"/>
        <rFont val="Arial"/>
        <family val="2"/>
        <scheme val="minor"/>
      </rPr>
      <t xml:space="preserve">ritisch / </t>
    </r>
    <r>
      <rPr>
        <b/>
        <sz val="11"/>
        <color theme="1"/>
        <rFont val="Arial"/>
        <family val="2"/>
        <scheme val="minor"/>
      </rPr>
      <t>krit</t>
    </r>
    <r>
      <rPr>
        <sz val="10"/>
        <color theme="1"/>
        <rFont val="Arial"/>
        <family val="2"/>
        <scheme val="minor"/>
      </rPr>
      <t>isch)</t>
    </r>
  </si>
  <si>
    <t>Reflektionen geklärt und als unkritisch eingestufft</t>
  </si>
  <si>
    <t>Reflektionen geklärt und als kritisch eingestufft</t>
  </si>
  <si>
    <t>Nutzbare Dachfläche</t>
  </si>
  <si>
    <t>Gemäss Vollzugshilfe EN-204</t>
  </si>
  <si>
    <t>Bonus Kombination mit Dachbegrünung</t>
  </si>
  <si>
    <t>Bonus Steile Anlagen</t>
  </si>
  <si>
    <t>Bonus Blendarme Module</t>
  </si>
  <si>
    <t>Fkorr_g.Min.</t>
  </si>
  <si>
    <t>Spez.E_t.Vb.</t>
  </si>
  <si>
    <t>Spez.E_g.Min.</t>
  </si>
  <si>
    <t>g.Min.</t>
  </si>
  <si>
    <t>t.Vb.</t>
  </si>
  <si>
    <t>Horizontal</t>
  </si>
  <si>
    <t>Zweitausrichtung</t>
  </si>
  <si>
    <t>korr.  "t.Vb."</t>
  </si>
  <si>
    <t>korr. "g.Min."</t>
  </si>
  <si>
    <t>Rechenwert "t.Vb."</t>
  </si>
  <si>
    <t>Rechenwert "g.Min."</t>
  </si>
  <si>
    <t>25 Betriebsjahre exkl. Zins, Unterhalt &amp; Degradation</t>
  </si>
  <si>
    <t>Zusatznutzung</t>
  </si>
  <si>
    <t>keine</t>
  </si>
  <si>
    <t>Gründach</t>
  </si>
  <si>
    <t>Mehrkosten bei Gründach ca. 20% gemäss Preisbeobachtungsstudie 2024 S. 22</t>
  </si>
  <si>
    <t>Aufpreis Gründach</t>
  </si>
  <si>
    <t>Referenzkosten PV (exkl. MWSt.)</t>
  </si>
  <si>
    <t>Fd</t>
  </si>
  <si>
    <t>Sd</t>
  </si>
  <si>
    <t>Pp</t>
  </si>
  <si>
    <t>Fdg</t>
  </si>
  <si>
    <t>Blend.HA.</t>
  </si>
  <si>
    <t>Blend.ZA.</t>
  </si>
  <si>
    <t>Blendung in Zweitausrichtung</t>
  </si>
  <si>
    <t>Modultyp für Zweitausrichtung</t>
  </si>
  <si>
    <t>Bonus Dachbegrünung</t>
  </si>
  <si>
    <t>B.Neig</t>
  </si>
  <si>
    <t>B.Grün</t>
  </si>
  <si>
    <t>B.Blendarm</t>
  </si>
  <si>
    <t>B.Fassade</t>
  </si>
  <si>
    <t>B.PP</t>
  </si>
  <si>
    <t>Generator</t>
  </si>
  <si>
    <t>Eigenschaften</t>
  </si>
  <si>
    <t>M.Typ.HA.</t>
  </si>
  <si>
    <t>M.Typ.ZA.</t>
  </si>
  <si>
    <t>t.Vb.HA.</t>
  </si>
  <si>
    <t>t.Vb.ZA.</t>
  </si>
  <si>
    <t>g.Min.HA.</t>
  </si>
  <si>
    <t>g.Min.ZA.</t>
  </si>
  <si>
    <t>Fkorr_HA.</t>
  </si>
  <si>
    <t>Modulzahl</t>
  </si>
  <si>
    <t>Anlageleistung</t>
  </si>
  <si>
    <t>Grün</t>
  </si>
  <si>
    <t>Blendarm</t>
  </si>
  <si>
    <t>Fassade / Steil</t>
  </si>
  <si>
    <t>Modulfläche</t>
  </si>
  <si>
    <t>spez.Ertrag</t>
  </si>
  <si>
    <t>Ertrag</t>
  </si>
  <si>
    <t>Spez.E_Eingabe</t>
  </si>
  <si>
    <t>technische Vollbelegung / t.Vb.</t>
  </si>
  <si>
    <t>gesetzliches Minimum / g.Min.</t>
  </si>
  <si>
    <t>Ausrichtung</t>
  </si>
  <si>
    <t>Bonus Steil</t>
  </si>
  <si>
    <t>Bonus Blendarm</t>
  </si>
  <si>
    <t>Bonus Gründach</t>
  </si>
  <si>
    <t>vermasste Pläne Teildach mit Modullayout Var. Technische Vollbelegung (inkl. Bezeichnung, Fläche, Azimut &amp; Neigung)</t>
  </si>
  <si>
    <t>Nachweise</t>
  </si>
  <si>
    <t>t.Vb. Nutzflächen</t>
  </si>
  <si>
    <t>g.Min.
Nutzflächen</t>
  </si>
  <si>
    <t>spezifischer Ertrag</t>
  </si>
  <si>
    <t>Bild: Seite 17 Photovoltaikmarkt Preisbeobachtungsstudie (ohne MWSt.)</t>
  </si>
  <si>
    <t>Referenzkosten exkl. MWSt.</t>
  </si>
  <si>
    <t>P_TF_t.Vb.</t>
  </si>
  <si>
    <t>P_TF_g.Min.</t>
  </si>
  <si>
    <t>f</t>
  </si>
  <si>
    <t>Prio_t.Vb.</t>
  </si>
  <si>
    <t>Prio_g.Min.</t>
  </si>
  <si>
    <t>Verweis</t>
  </si>
  <si>
    <t>Welche Blendflächen?</t>
  </si>
  <si>
    <t>Welche Flächen spez. Ertrag</t>
  </si>
  <si>
    <t>Anpassung TF:
- Modul/ Dachneigung bei FD oder SD implementiert
- Verschattungsabstände für Flachdach neu berechnet
- Zuschlag Nord wird zu Zuschlag Blendfrei (Aufpreis für sat. Modul)
- Bonus Blendfrei ist nun gleichzeitig zu Bonus Steil möglich
Korrektur Basisdaten: Berechnung Referenzkosten aktualisiert
Einführung Ref. Kosten für g.Min.
Datengrundlage:
- Eigennutzungsgrad für g.Min. 
- Unterhaltskosten für g.Min.</t>
  </si>
  <si>
    <t>Referenzzinssatz Stand 1.7.2026</t>
  </si>
  <si>
    <t>MWSt. pflichtig</t>
  </si>
  <si>
    <t>spez. Referenzkosten</t>
  </si>
  <si>
    <t>MWSt. Pflicht</t>
  </si>
  <si>
    <t>Eigenkapitalkosten Annuität (Verzinsung Jährlich)
[CHF]</t>
  </si>
  <si>
    <t>Wirtschaftlichkeit umbau zu Annuitätenmethode</t>
  </si>
  <si>
    <t>V3b</t>
  </si>
  <si>
    <t>Relevanz bei g.Min. (exkl. MWSt.)</t>
  </si>
  <si>
    <t>Förderung auf Leistung</t>
  </si>
  <si>
    <t>Änderungen der Referenzkostenberechnung sind an b.bossart@iwf.ch zu kommunizieren (für Webauftritt Stadt Luzern)</t>
  </si>
  <si>
    <t>Offerte Variante gesetzliches Minimum</t>
  </si>
  <si>
    <t>Offerte Variante technische Vollbelegung</t>
  </si>
  <si>
    <t>Gestehungskosten (capex)</t>
  </si>
  <si>
    <t>Gestehungskosten Capex Teilfläche bei t.Vb. (exkl. MWSt.)</t>
  </si>
  <si>
    <t>MWSt.- Einspeisung
[CHF]</t>
  </si>
  <si>
    <t>Unterhalts-kosten
[CHF]</t>
  </si>
  <si>
    <t>MWSt.- Vorsteuerabzug
Unterhalts-kosten
[CHF]</t>
  </si>
  <si>
    <t>Altersheim</t>
  </si>
  <si>
    <t>Büro</t>
  </si>
  <si>
    <t>Schulhaus</t>
  </si>
  <si>
    <t>Verkauf</t>
  </si>
  <si>
    <t>Wohnen MFH</t>
  </si>
  <si>
    <t>Wohnen EFH</t>
  </si>
  <si>
    <t>Objekttyp (Lastprofil)</t>
  </si>
  <si>
    <t>Jährlicher Energieverbrauch</t>
  </si>
  <si>
    <t>Fertigstellung (geplant)</t>
  </si>
  <si>
    <t>Solarstromanteil</t>
  </si>
  <si>
    <r>
      <t xml:space="preserve">Referenz Marktpreis EnFV </t>
    </r>
    <r>
      <rPr>
        <sz val="11"/>
        <color theme="1"/>
        <rFont val="Calibri"/>
        <family val="2"/>
      </rPr>
      <t>Ø 4 Jahre</t>
    </r>
  </si>
  <si>
    <t>technische Vollbelegung (t.Vb.)</t>
  </si>
  <si>
    <t>gesetzliches Minimum (g.Min.)</t>
  </si>
  <si>
    <t>(inkl. MWSt.)</t>
  </si>
  <si>
    <t>Förderbeiträge Bund</t>
  </si>
  <si>
    <t>Einmalvergütung (EIV)</t>
  </si>
  <si>
    <t>V3d</t>
  </si>
  <si>
    <t xml:space="preserve">ENG in f(DG)
MWSt. überprüft
Priorisierung neu gelöst
Kommentare MWSt. korrigiert
</t>
  </si>
  <si>
    <t>Noch nicht implementiert</t>
  </si>
  <si>
    <t>https://pubdb.bfe.admin.ch/de/publication/download/11768</t>
  </si>
  <si>
    <t>Abschlussbericht, Photovoltaikmarkt: Preisbeobachtungsstudie</t>
  </si>
  <si>
    <t>unten: Beispiel aus Studie 2024: Trendkurve spezifische Kosten in Abhängigkeit der Anlageleistung:
(Material- &amp; Installationskosten enthalten / keine Planungshonorare enthalten)</t>
  </si>
  <si>
    <t>unten: Spezifische Kosten in Abhängigkeit der Anlageleistung</t>
  </si>
  <si>
    <t>vom 1. November 2017 (Stand am 1. Juli 2026)</t>
  </si>
  <si>
    <t>https://www.bfe.admin.ch/bfe/de/home/foerderung/erneuerbare-energien/foerderung-photovoltaikanlagen.html</t>
  </si>
  <si>
    <t>durch Plan-E (Anpassung an KEnG) / Formatierungen und Struktur</t>
  </si>
  <si>
    <t>V3e</t>
  </si>
  <si>
    <t>Individuelle Anpassungen der Standard-Werte</t>
  </si>
  <si>
    <t>DB_DE_Jinko_JKM475N-48QL6-DV</t>
  </si>
  <si>
    <t>Platzbedarf für das kleinste Modulfeld</t>
  </si>
  <si>
    <t>CKW</t>
  </si>
  <si>
    <t>Plan Dachübersicht mit eindeutiger Bezeichnung der Dachflächen</t>
  </si>
  <si>
    <t>Nachweis(e) Eigennutzungsgrad</t>
  </si>
  <si>
    <t>Nachweis(e) Unterhaltskosten</t>
  </si>
  <si>
    <t>HA</t>
  </si>
  <si>
    <t>ZA</t>
  </si>
  <si>
    <t>Der spezifische Jahresertrag pro Dachfläche kann auch mit einem Simulationstool ermittelt und pro Dachfläche überschrieben werden. Dies kann z.B. bei starker Verschattung durch nebenliegende Gebäude erfolgen. Als Nachweis ist jeweils ein Simulationsbericht vom Berechnungsprogramm abzugeben (z.B. PV Sol, PV GIS, BIM Solar etc.).</t>
  </si>
  <si>
    <t xml:space="preserve">Für jede Dachfläche steht eine Tabelle für die Angaben zu Dachaufbauten zur Verfügung. Da es technisch nicht sinnvoll ist, Module direkt in den Schatten von Aufbauten zu montieren, soll die Verschattung der Objekt berücksichtigt werden. Dem Grundsatz nach kann auf der horizontalen Fläche gegen Norden maximal ein Bereich von der 3-fachen Höhe (kein Schatten bei einem Sonnenstand grösser 18°) und gegen Ost und West die 1-fache Höhe (kein Schatten bei einem Sonnenstand grösser 45°) als Verschattungsabstand von Modulen berücksichtigt werden.
Gemäss diesem Grundsatz werden die Abstände für die ausgerichteten und geneigten Fächen als Hilfestellung berechnet. Diese Abstände können in die Pläne (Layouts) übernommen werden. Als maximale Werte gelten die Werte der horizontalen Fläche. </t>
  </si>
  <si>
    <t>Projektdaten</t>
  </si>
  <si>
    <t>(bei Ja wird keine MWSt. aufgeschlagen, da diese wieder in der Wirtschaftlichkeit abgezogen werden kann)</t>
  </si>
  <si>
    <t>Ja</t>
  </si>
  <si>
    <t>Nein</t>
  </si>
  <si>
    <t>(Private sind nie MWSt. pflichtig)</t>
  </si>
  <si>
    <t>Dachfläche</t>
  </si>
  <si>
    <t>Unterhaltskosten</t>
  </si>
  <si>
    <t xml:space="preserve">Formatierungen und Struktur in Absprache mit thsc
- löschen vom Zusatzblatt minimale Grösse Modulfeld
  masse vorgeben zu Traufe, Ort, First &amp; Aufbauten -&gt; Angaben an thsc
  Flachdächer: RWA, Oberlichter, Regenwassereinläufe, Seile, EAP, Dachrand, etc.
- TF (x) -&gt; Dachfläche (1-6)
- Änderungen gemäss Aktennotiz vom 2026-08-06 </t>
  </si>
  <si>
    <t>Typ-lang</t>
  </si>
  <si>
    <t>Flachdach (Fd)</t>
  </si>
  <si>
    <t>Flachdach begrünt (Fdg)</t>
  </si>
  <si>
    <t>Schrägdach (Sd)</t>
  </si>
  <si>
    <t>Parkplatz (Pp)</t>
  </si>
  <si>
    <t>Leistung technische Vollbelegung</t>
  </si>
  <si>
    <t>EIV technische Vollbelegung</t>
  </si>
  <si>
    <t>_EIV Pauschalbeitrag 2-5 kWp</t>
  </si>
  <si>
    <t>_EIV Pauschalbeitrag &gt; 5 kWp</t>
  </si>
  <si>
    <t>_Leistungsbeitrag  &lt; 30 kVA</t>
  </si>
  <si>
    <t>_Leistungsbeitrag 30 - 100 kVA</t>
  </si>
  <si>
    <t>_Leistungsbeitrag &gt; 100 kVA</t>
  </si>
  <si>
    <t>Leistung gesetzliches Minimum</t>
  </si>
  <si>
    <t>EIV gesetzliches Minimum</t>
  </si>
  <si>
    <t>Einmalvergütung pronovo (EIV)</t>
  </si>
  <si>
    <t>Inhaltsverzeichnis</t>
  </si>
  <si>
    <t>Nachfolgend wird der Begriff «Solaranlagen» für photovoltaische und solarthermische Anlagen verwendet.</t>
  </si>
  <si>
    <t>Die Stadt Luzern steht ein für wirksame Massnahmen in den Bereichen Energie und Klimaschutz, Stadtklima, Biodiversitätsförderung, einen haushälterischen Umgang mit Ressourcen sowie gute Baukultur. Der Erhalt der natürlichen Lebensgrundlagen, ästhetisch ansprechende Gebäude und ein sorgsamer Umgang mit Kulturdenkmälern sind im Interesse heutiger und zukünftiger Generationen.</t>
  </si>
  <si>
    <t>Planungshilfe</t>
  </si>
  <si>
    <t>Nachweis wirtschaftliche Unverhältnismässigkeit (Art. 77, BZR 2026)</t>
  </si>
  <si>
    <t>V4a</t>
  </si>
  <si>
    <t>komplette Überarbeitung durch «Vorlagenbauer»</t>
  </si>
  <si>
    <t>Gesetzliche Grundlagen</t>
  </si>
  <si>
    <t>Kurzanleitung</t>
  </si>
  <si>
    <t>Bericht</t>
  </si>
  <si>
    <t>Datengrundlage</t>
  </si>
  <si>
    <t>Dachfläche(n)</t>
  </si>
  <si>
    <t>Diese Planungshilfe führt die Bewilligungsverfahren sowie die gestalterischen Vorgaben für Solaranlagen im Allgemeinen auf und beschreibt die ergänzenden gestalterischen Anforderungen für Ortsbildschutzzonen, für Gebäude unter Denkmalschutz und für Gebäude im kantonalen Bauinventar.</t>
  </si>
  <si>
    <t>Gesetzliche Grundlagen Solaranlagen</t>
  </si>
  <si>
    <t>Das kantonale Recht (KEnG § 15 und KEnV § 13 bis 15) verlangt die Eigenstromerzeugung bei Neu- und Bestandesbauten.</t>
  </si>
  <si>
    <r>
      <rPr>
        <b/>
        <sz val="10"/>
        <color theme="1"/>
        <rFont val="Arial"/>
        <family val="2"/>
      </rPr>
      <t>§ 15 KEnG</t>
    </r>
    <r>
      <rPr>
        <sz val="10"/>
        <color theme="1"/>
        <rFont val="Arial"/>
        <family val="2"/>
      </rPr>
      <t xml:space="preserve"> Eigenstromerzeugung bei Bauten
</t>
    </r>
    <r>
      <rPr>
        <vertAlign val="superscript"/>
        <sz val="10"/>
        <color theme="1"/>
        <rFont val="Arial"/>
        <family val="2"/>
      </rPr>
      <t>1</t>
    </r>
    <r>
      <rPr>
        <sz val="10"/>
        <color theme="1"/>
        <rFont val="Arial"/>
        <family val="2"/>
      </rPr>
      <t xml:space="preserve">Bei Neubauten, die beheizt, belüftet, gekühlt oder befeuchtet werden, muss das Potenzial zur Stromerzeugung angemessen ausgenutzt werden oder deren Eigentümerinnen und Eigentümer haben eine Ersatzabgabe zu leisten.
</t>
    </r>
    <r>
      <rPr>
        <vertAlign val="superscript"/>
        <sz val="10"/>
        <color theme="1"/>
        <rFont val="Arial"/>
        <family val="2"/>
      </rPr>
      <t>1bis</t>
    </r>
    <r>
      <rPr>
        <sz val="10"/>
        <color theme="1"/>
        <rFont val="Arial"/>
        <family val="2"/>
      </rPr>
      <t xml:space="preserve">Bei bestehenden Bauten, die beheizt, belüftet, gekühlt oder befeuchtet werden, muss bei einer Dachsanierung das Stromerzeugungspotenzial angemessen ausgenutzt werden oder deren Eigentümerinnen und Eigentümer haben eine Ersatzabgabe zu leisten.
</t>
    </r>
    <r>
      <rPr>
        <vertAlign val="superscript"/>
        <sz val="10"/>
        <color theme="1"/>
        <rFont val="Arial"/>
        <family val="2"/>
      </rPr>
      <t>1ter</t>
    </r>
    <r>
      <rPr>
        <sz val="10"/>
        <color theme="1"/>
        <rFont val="Arial"/>
        <family val="2"/>
      </rPr>
      <t xml:space="preserve">Für Aussenbauteile mit Schutzauflagen kann die zuständige Dienststelle Erleichterungen gewähren.
</t>
    </r>
    <r>
      <rPr>
        <vertAlign val="superscript"/>
        <sz val="10"/>
        <color theme="1"/>
        <rFont val="Arial"/>
        <family val="2"/>
      </rPr>
      <t>2</t>
    </r>
    <r>
      <rPr>
        <sz val="10"/>
        <color theme="1"/>
        <rFont val="Arial"/>
        <family val="2"/>
      </rPr>
      <t xml:space="preserve">Die Verordnung regelt die Art und den Umfang der Eigenstromerzeugung sowie die Befreiungen. Zu berücksichtigen ist dabei die belegbare Dachfläche als Berechnungsgrundlage für die selbst zu erzeugende Elektrizität.
</t>
    </r>
    <r>
      <rPr>
        <vertAlign val="superscript"/>
        <sz val="10"/>
        <color theme="1"/>
        <rFont val="Arial"/>
        <family val="2"/>
      </rPr>
      <t>3</t>
    </r>
    <r>
      <rPr>
        <sz val="10"/>
        <color theme="1"/>
        <rFont val="Arial"/>
        <family val="2"/>
      </rPr>
      <t xml:space="preserve">Die Ersatzabgabe berechnet sich aus der Differenz der minimal zu installierenden Leistung zur effektiv installierten Leistung und beträgt pro kW nicht realisierte Leistung maximal 1000 Franken. Der Regierungsrat legt die weiteren Modalitäten und die Höhe der Ersatzabgabe in der Verordnung fest. 
</t>
    </r>
    <r>
      <rPr>
        <vertAlign val="superscript"/>
        <sz val="10"/>
        <color theme="1"/>
        <rFont val="Arial"/>
        <family val="2"/>
      </rPr>
      <t>4</t>
    </r>
    <r>
      <rPr>
        <sz val="10"/>
        <color theme="1"/>
        <rFont val="Arial"/>
        <family val="2"/>
      </rPr>
      <t>Die Gemeinden erheben die Ersatzabgabe und verwenden sie zweckgebunden zur Förderung der nachhaltigen und effizienten Energienutzung und der erneuerbaren Energien.</t>
    </r>
  </si>
  <si>
    <t>Aufbauend darauf definiert der Artikel 77 des städtischen Bau- und Zonenreglements (BZR 2026) die Nutzung der Dachflächen bezüglich Begrünung und energetischer Nutzung.</t>
  </si>
  <si>
    <r>
      <rPr>
        <b/>
        <sz val="10"/>
        <color theme="1"/>
        <rFont val="Arial"/>
        <family val="2"/>
      </rPr>
      <t>Art. 77 BZR 2026</t>
    </r>
    <r>
      <rPr>
        <sz val="10"/>
        <color theme="1"/>
        <rFont val="Arial"/>
        <family val="2"/>
      </rPr>
      <t xml:space="preserve"> Dachbegrünung, Solar- und Photovoltaikanlagen
</t>
    </r>
    <r>
      <rPr>
        <vertAlign val="superscript"/>
        <sz val="10"/>
        <color theme="1"/>
        <rFont val="Arial"/>
        <family val="2"/>
      </rPr>
      <t>1</t>
    </r>
    <r>
      <rPr>
        <sz val="10"/>
        <color theme="1"/>
        <rFont val="Arial"/>
        <family val="2"/>
      </rPr>
      <t xml:space="preserve"> In den Bauzonen (ohne Grünzone) und der Landwirtschaftszone sind nicht begehbare Flachdächer und Flachdachteile ab einer Grösse von 25 m</t>
    </r>
    <r>
      <rPr>
        <vertAlign val="superscript"/>
        <sz val="10"/>
        <color theme="1"/>
        <rFont val="Arial"/>
        <family val="2"/>
      </rPr>
      <t>2</t>
    </r>
    <r>
      <rPr>
        <sz val="10"/>
        <color theme="1"/>
        <rFont val="Arial"/>
        <family val="2"/>
      </rPr>
      <t xml:space="preserve"> vollflächig ökologisch wertvoll zu begrünen und energetisch zu nutzen. Die energetische Nutzung durch thermische Solaranlagen und/oder Photovoltaikanlagen richtet sich nach den Mindestvorgaben gemäss § 15 des Kantonalen Energiegesetzes vom 1. März 2025 (Inkrafttreten) und §§ 13-15 der Kantonalen Energieverordnung vom 1. März 2025 (Inkrafttreten) unter Vorbehalt von Abs. 3. Die Begrünung muss mindestens extensiv ausgestaltet werden und mindestens 30 Prozent der nicht begehbaren Dachfläche betragen. Zur Reduktion der Hitzebelastung in Gebäuden und Aussenräumen kann eine Erhöhung des Anteils der Begrünung auf 100 Prozent verlangt werden.
</t>
    </r>
    <r>
      <rPr>
        <vertAlign val="superscript"/>
        <sz val="10"/>
        <color theme="1"/>
        <rFont val="Arial"/>
        <family val="2"/>
      </rPr>
      <t>2</t>
    </r>
    <r>
      <rPr>
        <sz val="10"/>
        <color theme="1"/>
        <rFont val="Arial"/>
        <family val="2"/>
      </rPr>
      <t xml:space="preserve"> In den Bauzonen (ohne Grünzone) und der Landwirtschaftszone sind Schrägdächer ab einer Grösse von 25 m</t>
    </r>
    <r>
      <rPr>
        <vertAlign val="superscript"/>
        <sz val="10"/>
        <color theme="1"/>
        <rFont val="Arial"/>
        <family val="2"/>
      </rPr>
      <t>2</t>
    </r>
    <r>
      <rPr>
        <sz val="10"/>
        <color theme="1"/>
        <rFont val="Arial"/>
        <family val="2"/>
      </rPr>
      <t xml:space="preserve"> energetisch zu nutzen. Die energetische Nutzung durch thermische Solaranlagen und/oder Photovoltaikanlagen richtet sich nach den Mindestvorgaben gemäss § 15 des Kantonalen Energiegesetzes vom 1. März 2025 (Inkrafttreten) und §§ 13-15 der Kantonalen Energieverordnung vom 1. März 2025 (Inkrafttreten) unter Vorbehalt von Abs. 3.
</t>
    </r>
    <r>
      <rPr>
        <vertAlign val="superscript"/>
        <sz val="10"/>
        <color theme="1"/>
        <rFont val="Arial"/>
        <family val="2"/>
      </rPr>
      <t>3</t>
    </r>
    <r>
      <rPr>
        <sz val="10"/>
        <color theme="1"/>
        <rFont val="Arial"/>
        <family val="2"/>
      </rPr>
      <t xml:space="preserve"> Abweichend von § 15 des Kantonalen Energiegesetzes vom 1. März 2025 (Inkrafttreten) und §§ 13-15 der Kantonalen Energieverordnung vom 1. März 2025 (Inkrafttreten)</t>
    </r>
  </si>
  <si>
    <t>a.</t>
  </si>
  <si>
    <t>b.</t>
  </si>
  <si>
    <t xml:space="preserve">ist die Entrichtung der Ersatzabgabe nicht zulässig, </t>
  </si>
  <si>
    <t>erweitert sich die nutzbare Dachfläche um alle Ausrichtungen und unabhängig von der Eignung gemäss Sonnendach,</t>
  </si>
  <si>
    <t>c.</t>
  </si>
  <si>
    <t>d.</t>
  </si>
  <si>
    <t>muss die Pflicht zur energetischen Nutzung auf Dachflächen erfüllt werden,</t>
  </si>
  <si>
    <t>e.</t>
  </si>
  <si>
    <t>unterstehen auch Bauten, die nicht beheizt, belüftet, gekühlt und befeuchtet werden, der Pflicht zur Begrünung bzw. zur energetischen Nutzung. Bei diesen Bauten kann auf die Begrünung oder energetische Nutzung verzichtet werden, wenn eine der zwei Möglichkeiten vollflächig ausgeführt wird,</t>
  </si>
  <si>
    <t>f.</t>
  </si>
  <si>
    <t>gilt als belegbare Dachfläche mindestens 50 Prozent für Neubauten oder 25 Prozent für bestehende Bauten der zur Eigenstromerzeugung nutzbaren Dachfläche. Dies gilt unabhängig von der Modulleistung,</t>
  </si>
  <si>
    <t>g.</t>
  </si>
  <si>
    <t>können innerhalb eines Bauprojekts mit mehreren Gebäuden die Anteile für die Begrünung und die energetische Nutzung von Flachdächern zwischen den verschiedenen Gebäuden verschoben werden. Eine Verschiebung der Solarpflicht bei Schrägdächern auf andere Gebäude ist nicht zulässig.</t>
  </si>
  <si>
    <t>sind auch Teildachflächen zu belegen, auf denen der erwartete Jahresertrag weniger als 800 kWh pro kWp installierter Leistung beträgt, ausser sie führen zu einer wirtschaftlichen Unverhältnismässigkeit der Gesamtanlage,</t>
  </si>
  <si>
    <t>Sowohl das kantonale Energiegesetz (KEnG) als auch das städtische Bau- und Zonenreglement (BZR) gelten, wobei grundsätzlich die strengere Vorschrift einzuhalten ist. Das städtische BZR hebt gewisse Ausnahmen aus dem KEnG auf, sodass das übergeordnete kantonale Recht durch die Umsetzung der städtischen Vorgaben eingehalten ist.</t>
  </si>
  <si>
    <t>Es gibt fünf mögliche Ausnahmen von der Pflicht:</t>
  </si>
  <si>
    <t>1.</t>
  </si>
  <si>
    <t>2.</t>
  </si>
  <si>
    <t>3.</t>
  </si>
  <si>
    <t>4.</t>
  </si>
  <si>
    <t>5.</t>
  </si>
  <si>
    <r>
      <t>Führt die Belegung von Teildachflächen zu einer</t>
    </r>
    <r>
      <rPr>
        <i/>
        <sz val="10"/>
        <color theme="1"/>
        <rFont val="Arial"/>
        <family val="2"/>
      </rPr>
      <t xml:space="preserve"> Amortisationsdauer von über 20 Jahren</t>
    </r>
    <r>
      <rPr>
        <sz val="10"/>
        <color theme="1"/>
        <rFont val="Arial"/>
        <family val="2"/>
      </rPr>
      <t>, können unwirtschaftliche Anlagenteile weggelassen werden (Prüfung mithilfe Planungshilfe Nachweis Wirtschaftlichkeit Photovoltaikanlagen).</t>
    </r>
  </si>
  <si>
    <r>
      <t xml:space="preserve">Für </t>
    </r>
    <r>
      <rPr>
        <i/>
        <sz val="10"/>
        <color theme="1"/>
        <rFont val="Arial"/>
        <family val="2"/>
      </rPr>
      <t>Aussenbauteile mit Schutzanforderunge</t>
    </r>
    <r>
      <rPr>
        <sz val="10"/>
        <color theme="1"/>
        <rFont val="Arial"/>
        <family val="2"/>
      </rPr>
      <t>n kann die kantonale Dienststelle Umwelt und Energie (uwe) auf begründeten Antrag der Denkmalpflege eine Erleichterung erteilen.</t>
    </r>
  </si>
  <si>
    <r>
      <t xml:space="preserve">Wenn auf nutzbaren Teildachflächen weniger als </t>
    </r>
    <r>
      <rPr>
        <i/>
        <sz val="10"/>
        <color theme="1"/>
        <rFont val="Arial"/>
        <family val="2"/>
      </rPr>
      <t>sechs zusammenhängende Module</t>
    </r>
    <r>
      <rPr>
        <sz val="10"/>
        <color theme="1"/>
        <rFont val="Arial"/>
        <family val="2"/>
      </rPr>
      <t xml:space="preserve"> installiert werden können (zum Beispiel 2x3 Module oder Reihe von 6 Modulen), entfällt diese (Teil-) Dachfläche aus der Pflicht.</t>
    </r>
  </si>
  <si>
    <r>
      <t xml:space="preserve">Wenn die nutzbare Teildachfläche eines Daches </t>
    </r>
    <r>
      <rPr>
        <i/>
        <sz val="10"/>
        <color theme="1"/>
        <rFont val="Arial"/>
        <family val="2"/>
      </rPr>
      <t>kleiner als 25 m</t>
    </r>
    <r>
      <rPr>
        <i/>
        <vertAlign val="superscript"/>
        <sz val="10"/>
        <color theme="1"/>
        <rFont val="Arial"/>
        <family val="2"/>
      </rPr>
      <t>2</t>
    </r>
    <r>
      <rPr>
        <sz val="10"/>
        <color theme="1"/>
        <rFont val="Arial"/>
        <family val="2"/>
      </rPr>
      <t xml:space="preserve"> (inkl. Giebeldach, Dachränder und Vordächer) ist, muss keine Anlage installiert werden.</t>
    </r>
  </si>
  <si>
    <r>
      <t xml:space="preserve">Bei Bauten, die </t>
    </r>
    <r>
      <rPr>
        <i/>
        <sz val="10"/>
        <color theme="1"/>
        <rFont val="Arial"/>
        <family val="2"/>
      </rPr>
      <t>nicht beheizt, belüftet, gekühlt und befeuchtet</t>
    </r>
    <r>
      <rPr>
        <sz val="10"/>
        <color theme="1"/>
        <rFont val="Arial"/>
        <family val="2"/>
      </rPr>
      <t xml:space="preserve"> werden, kann auf die Begrünung oder energetische Nutzung verzichtet werden, wenn eine der zwei Möglichkeiten vollflächig ausgeführt wird.</t>
    </r>
  </si>
  <si>
    <t>Aufbau und Schritt-für-Schritt-Vorgehen</t>
  </si>
  <si>
    <t>Aufbau</t>
  </si>
  <si>
    <t>Die Planungshilfe ist so aufgebaut, dass möglichst wenig Daten eingegeben werden müssen.</t>
  </si>
  <si>
    <t xml:space="preserve"> -</t>
  </si>
  <si>
    <t>Die vorgegebenen Annahmen / Werte können direkt verwendet werden.</t>
  </si>
  <si>
    <t>Einige Werte können verändert werden (siehe unten Kapitel «Nr. Individuelle Anpassung»).</t>
  </si>
  <si>
    <t>Für die Veränderung ist jeweils ein nachvollziehbarer Nachweis zu erbringen.</t>
  </si>
  <si>
    <t>Beispiel:</t>
  </si>
  <si>
    <t>Der tatsächliche Eigennutzungsgrad liegt tiefer als die Annahme - mit einer Simulation kann der tiefere Eigennutzungsgrad nachgewiesen und damit der Standard-Wert im Tabellenblatt «Bericht» überschrieben werden. Dabei wird die Liste «Erforderliche Beilagen» auf dem Tabellenblatt «Bericht» automatisch ergänzt.</t>
  </si>
  <si>
    <t>Schritt-für-Schritt-Vorgehen (empfohlen)</t>
  </si>
  <si>
    <t>Erstellen eines Dachplans mit Bezeichnung jeder Dachfläche DF (z. B. Ostdach oder Gaube).</t>
  </si>
  <si>
    <t>Erstellen der Modullayouts pro Dachfläche für die technisch maximale Belegung (Berücksichtigung der technischen Vorgaben auf dem Tabellenblatt «Bemassung Modulfeld»).</t>
  </si>
  <si>
    <t>6.</t>
  </si>
  <si>
    <t>Ausfüllen der Projektdaten im Tabellenblatt «Bericht».</t>
  </si>
  <si>
    <t>Kontrolle aller Standardwerte im Tabellenblatt «Datengrundlage».</t>
  </si>
  <si>
    <t>Im Tabellenblatt «Bericht» überprüfen, ob die Anlage in maximal 20 Jahren amortisiert werden kann (Indikator grüne Farbe in Zeile Amortisationszeit).</t>
  </si>
  <si>
    <t>7.</t>
  </si>
  <si>
    <t>Kann die Anlage nicht innerhalb der Frist von 20 Jahren amortisiert werden, so gibt es zwei Möglichkeiten:</t>
  </si>
  <si>
    <t xml:space="preserve">Eingabe aller Dachflächen in den Tabellenblättern Dachfläche (1) bis Dachfläche (12):
</t>
  </si>
  <si>
    <t>Bezeichnung der Dachfläche
Dachtyp
Nutzbare Dachfläche
Ausrichtung 
Dachneigung
Blendung
Modulorientierung
Anzahl Module</t>
  </si>
  <si>
    <t xml:space="preserve"> -
 -
 -
 -
 -
 -
 -
 -</t>
  </si>
  <si>
    <t>Die Anlage wird trotz längerer Amortisationsdauer realisiert (technische Vollbelegung).</t>
  </si>
  <si>
    <t>Die Anlagegrösse kann optimiert werden.
Es wird iterativ nach einer Anlagenvariante gesucht, welche innerhalb von 20 Jahren amortisiert werden kann (gesetzliches Minimum)
Die gefundene Anzahl Module wird in den Tabellenblättern «Dachflächen» als gesetzliche minimale Variante eingetragen. Die entsprechenden Modullayouts sind als zusätzliche Beilage einzureichen.</t>
  </si>
  <si>
    <t>8.</t>
  </si>
  <si>
    <t>Priorisierung der Anlagenteile als Hilfe zur Optimierung.</t>
  </si>
  <si>
    <t>Pro Dachfläche werden die Gestehungskosten (Capex) grob gerechnet (Betriebsdauer 25 Jahre, exkl. Degradation, exkl. Unterhalt).</t>
  </si>
  <si>
    <t>Für die Optimierung wird idealerweise zuerst mit der Reduktion des am tiefsten priorisierten Anlageteils begonnen.</t>
  </si>
  <si>
    <t>9.</t>
  </si>
  <si>
    <t>Anhand dieses Wertes wird im Tabellenblatt «Bericht» eine Priorisierung der Anlagenteile erstellt (Spalte «Prio»).</t>
  </si>
  <si>
    <r>
      <t xml:space="preserve">Einreichen: Das ausgefüllte Formular ist </t>
    </r>
    <r>
      <rPr>
        <b/>
        <sz val="10"/>
        <color theme="1"/>
        <rFont val="Arial"/>
        <family val="2"/>
        <scheme val="minor"/>
      </rPr>
      <t>zusammen mit den im Tabellenblatt «Bericht» definierten Anhängen</t>
    </r>
    <r>
      <rPr>
        <sz val="10"/>
        <color theme="1"/>
        <rFont val="Arial"/>
        <family val="2"/>
        <scheme val="minor"/>
      </rPr>
      <t xml:space="preserve"> mit der Baueingabe an das Team Baugesuche einzureichen.</t>
    </r>
  </si>
  <si>
    <t>Individuelle Anpassungen</t>
  </si>
  <si>
    <t>Strahlungsdaten (Tabellenblatt «Datengrundlage»):</t>
  </si>
  <si>
    <t>Modul und UK/Eigenschaften  (Tabellenblatt «Datengrundlage»):</t>
  </si>
  <si>
    <t>Anhand der Modulleistung wird die gesamte Anlagenleistung berechnet. Es ist folgendes Standardmodul hinterlegt.</t>
  </si>
  <si>
    <t xml:space="preserve"> -
 -
 -
 -
 -</t>
  </si>
  <si>
    <t>Systembedingter Abstand zwischen den Modulen
Dachrand 
Aufbauten (Kamine, Entlüftung, Seilsystem, EAP, technische Aufbauten, etc.)
Entwässerung (Flachdach)
Abstand zu Oberlicht</t>
  </si>
  <si>
    <t>Die Installation von mindestens sechs zusammenhängenden Photovoltaik-Modulen muss möglich sein (zum Beispiel 2x3 Module oder Reihe von 6 Modulen oder ähnliche Anordnungen).
Zusätzlich zum Platzbedarf der Solarmodule dürfen die folgenden Abstände berücksichtigt werden:</t>
  </si>
  <si>
    <t>Tarife Energieversorger (Tabellenblatt «Datengrundlage»):</t>
  </si>
  <si>
    <t>Bei der Eingabe der Projektdaten auf dem Tabellenblatt «Bericht» ist das Energieversorgungsunternehmen zu wählen (CKW oder ewl).</t>
  </si>
  <si>
    <t>Für die Wirtschaftlichkeitsberechnungen werden die Durchschnitte der letzten drei Jahre verwendet.</t>
  </si>
  <si>
    <t>Die Tarife werden über die gesamte Betriebszeit konstant gehalten.</t>
  </si>
  <si>
    <t>Kosten (Tabellenblatt «Bericht»):</t>
  </si>
  <si>
    <t>Für die Kostenberechnung wird immer von den Kosten einer Aufdachanlage ausgegangen.</t>
  </si>
  <si>
    <t>Die Anlagenkosten werden anhand der Referenzkosten der «Photovoltaikmarkt Preisbeobachtungsstudie» in Abhängigkeit der Anlagenleistung berechnet.</t>
  </si>
  <si>
    <t>Bei PV-Anlagen auf Gründächern werden 20% Mehrkosten (gemäss Preisbeobachtungsstudie) aufgerechnet und der entsprechende Förder-Bonus der Stadt Luzern abgezogen.</t>
  </si>
  <si>
    <t>Liegen Blendberichte für Teilanlagen vor, wird ein Aufpreis für blendarme Module aufgerechnet und der entsprechende Förder-Bonus der Stadt Luzern abgezogen.</t>
  </si>
  <si>
    <t>Die Fördergelder von Bund und Stadt werden automatisch berechnet.</t>
  </si>
  <si>
    <t>Zusatzkosten für eine Dachintegration werden nicht berücksichtigt.</t>
  </si>
  <si>
    <t>Für eine Korrektur der Investitionskosten muss der Nachweis durch eine detaillierte Kostenberechnung für eine Aufdachanlage erfolgen.</t>
  </si>
  <si>
    <t>Änderungen müssen mit einem entsprechenden Beleg oder Förderzusage nachgewiesen werden. Dabei wird die Liste «Erforderliche Beilagen» auf dem Tabellenblatt «Bericht» automatisch ergänzt.</t>
  </si>
  <si>
    <t>Eigennutzungsgrad (Tabellenblatt «Bericht»)</t>
  </si>
  <si>
    <t>Unterhaltskosten (Tabellenblatt «Bericht»)</t>
  </si>
  <si>
    <t>Für den Eigennutzungsgrad wird ein Standardwert verwendet, sofern keine genaueren Angaben gemacht werden.</t>
  </si>
  <si>
    <t>Eine genauere Abschätzung kann erreicht werden, wenn auf dem Tabellenblatt «Bericht» der Objekttyp (Lastprofil) und ein jährlicher Energieverbrauch definiert wird (Abschätzung gemäss Berner Fachhochschule, Prof. Dr. Christoph Bucher).</t>
  </si>
  <si>
    <t>Liegt der tatsächliche Eigennutzungsgrad tiefer als die Annahme, kann das mit einer Simulation nachgewiesen und damit der Standard-Wert im Tabellenblatt «Bericht» überschrieben werden (Nachweistool PV-Opti, PV Sol, Poly Sun, ...). Dabei wird die Liste «Erforderliche Beilagen» auf dem Tabellenblatt «Bericht» automatisch ergänzt.</t>
  </si>
  <si>
    <t>Für die Unterhaltskosten wird ein fester Wert angenommen, wenn die Bauherrschaft keine eigene Berechnung erstellt hat. Der Wert kann überschrieben werden, wenn die entsprechende Berechnung vorliegt. Dabei wird die Liste «Erforderliche Beilagen» auf dem Tabellenblatt «Bericht» automatisch ergänzt.</t>
  </si>
  <si>
    <t>Spezifischer Jahresertrag pro Dachfläche (Tabellenblätter «Dachfläche (1-6)»):</t>
  </si>
  <si>
    <r>
      <t>Die horizontalen Einstrahlungsdaten in kWh/m</t>
    </r>
    <r>
      <rPr>
        <vertAlign val="superscript"/>
        <sz val="10"/>
        <color theme="1"/>
        <rFont val="Arial"/>
        <family val="2"/>
        <scheme val="minor"/>
      </rPr>
      <t>2</t>
    </r>
    <r>
      <rPr>
        <sz val="10"/>
        <color theme="1"/>
        <rFont val="Arial"/>
        <family val="2"/>
        <scheme val="minor"/>
      </rPr>
      <t xml:space="preserve"> werden mit einem Performance Ratio von 0.82 in einen spezifischen Ertrag in kWh/m</t>
    </r>
    <r>
      <rPr>
        <vertAlign val="superscript"/>
        <sz val="10"/>
        <color theme="1"/>
        <rFont val="Arial"/>
        <family val="2"/>
        <scheme val="minor"/>
      </rPr>
      <t>2</t>
    </r>
    <r>
      <rPr>
        <sz val="10"/>
        <color theme="1"/>
        <rFont val="Arial"/>
        <family val="2"/>
        <scheme val="minor"/>
      </rPr>
      <t xml:space="preserve"> umgerechnet. Pro Dachfläche werden die horizontalen Strahlungswerte anhand der Ausrichtung umgerechnet. Siehe Tabellenblatt Anhang.</t>
    </r>
  </si>
  <si>
    <t>Wird beim Dachtyp «Flachdach» oder «Flachdach begrünt» gewählt, muss bei eigener Eingabe des spezifischen Ertrages für die Hauptausrichtung auch ein spezifischer Ertrag für die Zweitausrichtung angegeben und belegt werden. 
Der Rechenwert ergibt sich aus dem nach Modulen gewichteten Mittel der spezifischen Erträge pro Ausrichtung.</t>
  </si>
  <si>
    <t>Hilfsmittel Dachaufbauten (Tabellenblatt «Dachfläche (1-6)»):</t>
  </si>
  <si>
    <t>Zusammenstellung technische Daten Dachflächen</t>
  </si>
  <si>
    <t xml:space="preserve"> kWh</t>
  </si>
  <si>
    <r>
      <rPr>
        <vertAlign val="superscript"/>
        <sz val="10"/>
        <color theme="1"/>
        <rFont val="Arial"/>
        <family val="2"/>
        <scheme val="minor"/>
      </rPr>
      <t>Rp</t>
    </r>
    <r>
      <rPr>
        <sz val="10"/>
        <color theme="1"/>
        <rFont val="Arial"/>
        <family val="2"/>
        <scheme val="minor"/>
      </rPr>
      <t>/</t>
    </r>
    <r>
      <rPr>
        <vertAlign val="subscript"/>
        <sz val="10"/>
        <color theme="1"/>
        <rFont val="Arial"/>
        <family val="2"/>
        <scheme val="minor"/>
      </rPr>
      <t>kWh</t>
    </r>
  </si>
  <si>
    <r>
      <t>[m</t>
    </r>
    <r>
      <rPr>
        <vertAlign val="superscript"/>
        <sz val="10"/>
        <color theme="1"/>
        <rFont val="Arial"/>
        <family val="2"/>
        <scheme val="minor"/>
      </rPr>
      <t>2</t>
    </r>
    <r>
      <rPr>
        <sz val="10"/>
        <color theme="1"/>
        <rFont val="Arial"/>
        <family val="2"/>
        <scheme val="minor"/>
      </rPr>
      <t>]</t>
    </r>
  </si>
  <si>
    <r>
      <rPr>
        <b/>
        <sz val="10"/>
        <color theme="1"/>
        <rFont val="Arial"/>
        <family val="2"/>
        <scheme val="minor"/>
      </rPr>
      <t>F</t>
    </r>
    <r>
      <rPr>
        <sz val="10"/>
        <color theme="1"/>
        <rFont val="Arial"/>
        <family val="2"/>
        <scheme val="minor"/>
      </rPr>
      <t>lach</t>
    </r>
    <r>
      <rPr>
        <b/>
        <sz val="10"/>
        <color theme="1"/>
        <rFont val="Arial"/>
        <family val="2"/>
        <scheme val="minor"/>
      </rPr>
      <t>d</t>
    </r>
    <r>
      <rPr>
        <sz val="10"/>
        <color theme="1"/>
        <rFont val="Arial"/>
        <family val="2"/>
        <scheme val="minor"/>
      </rPr>
      <t xml:space="preserve">ach / </t>
    </r>
    <r>
      <rPr>
        <b/>
        <sz val="10"/>
        <color theme="1"/>
        <rFont val="Arial"/>
        <family val="2"/>
        <scheme val="minor"/>
      </rPr>
      <t>F</t>
    </r>
    <r>
      <rPr>
        <sz val="10"/>
        <color theme="1"/>
        <rFont val="Arial"/>
        <family val="2"/>
        <scheme val="minor"/>
      </rPr>
      <t>lach</t>
    </r>
    <r>
      <rPr>
        <b/>
        <sz val="10"/>
        <color theme="1"/>
        <rFont val="Arial"/>
        <family val="2"/>
        <scheme val="minor"/>
      </rPr>
      <t>d</t>
    </r>
    <r>
      <rPr>
        <sz val="10"/>
        <color theme="1"/>
        <rFont val="Arial"/>
        <family val="2"/>
        <scheme val="minor"/>
      </rPr>
      <t>ach be</t>
    </r>
    <r>
      <rPr>
        <b/>
        <sz val="10"/>
        <color theme="1"/>
        <rFont val="Arial"/>
        <family val="2"/>
        <scheme val="minor"/>
      </rPr>
      <t>g</t>
    </r>
    <r>
      <rPr>
        <sz val="10"/>
        <color theme="1"/>
        <rFont val="Arial"/>
        <family val="2"/>
        <scheme val="minor"/>
      </rPr>
      <t xml:space="preserve">rünt / </t>
    </r>
    <r>
      <rPr>
        <b/>
        <sz val="10"/>
        <color theme="1"/>
        <rFont val="Arial"/>
        <family val="2"/>
        <scheme val="minor"/>
      </rPr>
      <t>S</t>
    </r>
    <r>
      <rPr>
        <sz val="10"/>
        <color theme="1"/>
        <rFont val="Arial"/>
        <family val="2"/>
        <scheme val="minor"/>
      </rPr>
      <t>chräg</t>
    </r>
    <r>
      <rPr>
        <b/>
        <sz val="10"/>
        <color theme="1"/>
        <rFont val="Arial"/>
        <family val="2"/>
        <scheme val="minor"/>
      </rPr>
      <t>d</t>
    </r>
    <r>
      <rPr>
        <sz val="10"/>
        <color theme="1"/>
        <rFont val="Arial"/>
        <family val="2"/>
        <scheme val="minor"/>
      </rPr>
      <t xml:space="preserve">ach / </t>
    </r>
    <r>
      <rPr>
        <b/>
        <sz val="10"/>
        <color theme="1"/>
        <rFont val="Arial"/>
        <family val="2"/>
        <scheme val="minor"/>
      </rPr>
      <t>P</t>
    </r>
    <r>
      <rPr>
        <sz val="10"/>
        <color theme="1"/>
        <rFont val="Arial"/>
        <family val="2"/>
        <scheme val="minor"/>
      </rPr>
      <t>ark</t>
    </r>
    <r>
      <rPr>
        <b/>
        <sz val="10"/>
        <color theme="1"/>
        <rFont val="Arial"/>
        <family val="2"/>
        <scheme val="minor"/>
      </rPr>
      <t>p</t>
    </r>
    <r>
      <rPr>
        <sz val="10"/>
        <color theme="1"/>
        <rFont val="Arial"/>
        <family val="2"/>
        <scheme val="minor"/>
      </rPr>
      <t>latz</t>
    </r>
  </si>
  <si>
    <r>
      <t>m</t>
    </r>
    <r>
      <rPr>
        <vertAlign val="superscript"/>
        <sz val="10"/>
        <color theme="1"/>
        <rFont val="Arial"/>
        <family val="2"/>
        <scheme val="minor"/>
      </rPr>
      <t>2</t>
    </r>
  </si>
  <si>
    <r>
      <t>E</t>
    </r>
    <r>
      <rPr>
        <vertAlign val="subscript"/>
        <sz val="10"/>
        <color theme="1"/>
        <rFont val="Arial"/>
        <family val="2"/>
        <scheme val="minor"/>
      </rPr>
      <t>spez</t>
    </r>
  </si>
  <si>
    <r>
      <t>F</t>
    </r>
    <r>
      <rPr>
        <vertAlign val="subscript"/>
        <sz val="10"/>
        <color theme="1"/>
        <rFont val="Arial"/>
        <family val="2"/>
        <scheme val="minor"/>
      </rPr>
      <t>korr</t>
    </r>
    <r>
      <rPr>
        <sz val="10"/>
        <color theme="1"/>
        <rFont val="Arial"/>
        <family val="2"/>
        <scheme val="minor"/>
      </rPr>
      <t>.</t>
    </r>
  </si>
  <si>
    <r>
      <t>F</t>
    </r>
    <r>
      <rPr>
        <vertAlign val="subscript"/>
        <sz val="10"/>
        <color theme="0"/>
        <rFont val="Arial"/>
        <family val="2"/>
        <scheme val="minor"/>
      </rPr>
      <t>korr</t>
    </r>
    <r>
      <rPr>
        <sz val="10"/>
        <color theme="0"/>
        <rFont val="Arial"/>
        <family val="2"/>
        <scheme val="minor"/>
      </rPr>
      <t>.</t>
    </r>
  </si>
  <si>
    <r>
      <t>E</t>
    </r>
    <r>
      <rPr>
        <vertAlign val="subscript"/>
        <sz val="10"/>
        <color theme="0"/>
        <rFont val="Arial"/>
        <family val="2"/>
        <scheme val="minor"/>
      </rPr>
      <t>spez</t>
    </r>
  </si>
  <si>
    <t>V4</t>
  </si>
  <si>
    <t>Finish durch Plan-E (Korrektur bei Dachtyp nicht definiert, Korrektur bei Anhänge Eigenverbrauchsgrad)</t>
  </si>
  <si>
    <t>Anz. Module technische Vollbelegung</t>
  </si>
  <si>
    <t>Anz. Module gesetzliches Minimum</t>
  </si>
  <si>
    <t>(Variante "t.Vb.")</t>
  </si>
  <si>
    <t>(Variante "g.Min.")</t>
  </si>
  <si>
    <r>
      <t>Das vorliegende Dokument beschreibt den aktuellen Stand der Praxis. Die Planungshilfen für die Vollzugspraxis in der Stadt Luzern werden nach Bedarf aktualisiert. Sie tragen deshalb eine Versionsnummer. Die aktuellen Versionen finden Sie auf der Webseite der Dienstabteilung Baubewilligungen der Stadt Luzern unter Dienste &amp; Infos &gt; «</t>
    </r>
    <r>
      <rPr>
        <u/>
        <sz val="10"/>
        <color theme="10"/>
        <rFont val="Arial"/>
        <family val="2"/>
        <scheme val="minor"/>
      </rPr>
      <t>Energie/Luft/Lärm/Deponien UWS</t>
    </r>
    <r>
      <rPr>
        <sz val="10"/>
        <color theme="10"/>
        <rFont val="Arial"/>
        <family val="2"/>
        <scheme val="minor"/>
      </rPr>
      <t>».</t>
    </r>
  </si>
  <si>
    <t>– Version 4.4</t>
  </si>
  <si>
    <t>Luzern, 21. Oktober 2026</t>
  </si>
  <si>
    <t>4.2a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</si>
</sst>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0.0000"/>
    <numFmt numFmtId="166" formatCode="dd/mm/yy;@"/>
    <numFmt numFmtId="167" formatCode="#,##0\ &quot;kWp&quot;"/>
    <numFmt numFmtId="168" formatCode="#,##0\ &quot;CHF/kWp&quot;"/>
    <numFmt numFmtId="169" formatCode="#,##0\ &quot;CHF&quot;"/>
    <numFmt numFmtId="170" formatCode="#,##0&quot;°&quot;"/>
    <numFmt numFmtId="171" formatCode="dd/mm/yyyy;@"/>
    <numFmt numFmtId="172" formatCode="0.000"/>
    <numFmt numFmtId="173" formatCode="#,##0\ &quot;°&quot;"/>
    <numFmt numFmtId="174" formatCode="\ @"/>
  </numFmts>
  <fonts count="59" x14ac:knownFonts="1">
    <font>
      <sz val="10"/>
      <color theme="1"/>
      <name val="Arial"/>
      <family val="2"/>
      <scheme val="minor"/>
    </font>
    <font>
      <sz val="10"/>
      <color theme="1"/>
      <name val="Arial"/>
      <family val="2"/>
    </font>
    <font>
      <sz val="10"/>
      <color theme="1"/>
      <name val="Arial"/>
      <family val="2"/>
    </font>
    <font>
      <sz val="10"/>
      <color theme="1"/>
      <name val="Arial"/>
      <family val="2"/>
    </font>
    <font>
      <b/>
      <sz val="11"/>
      <color theme="1"/>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20"/>
      <color theme="1"/>
      <name val="Arial"/>
      <family val="2"/>
      <scheme val="minor"/>
    </font>
    <font>
      <sz val="11"/>
      <color rgb="FF006100"/>
      <name val="Arial"/>
      <family val="2"/>
      <scheme val="minor"/>
    </font>
    <font>
      <sz val="11"/>
      <color rgb="FF9C0006"/>
      <name val="Arial"/>
      <family val="2"/>
      <scheme val="minor"/>
    </font>
    <font>
      <sz val="16"/>
      <color theme="1"/>
      <name val="Arial"/>
      <family val="2"/>
      <scheme val="minor"/>
    </font>
    <font>
      <sz val="13"/>
      <color theme="1"/>
      <name val="Arial"/>
      <family val="2"/>
      <scheme val="minor"/>
    </font>
    <font>
      <sz val="13"/>
      <name val="Arial"/>
      <family val="2"/>
      <scheme val="minor"/>
    </font>
    <font>
      <b/>
      <sz val="13"/>
      <color theme="1"/>
      <name val="Arial"/>
      <family val="2"/>
      <scheme val="minor"/>
    </font>
    <font>
      <b/>
      <sz val="13"/>
      <name val="Arial"/>
      <family val="2"/>
      <scheme val="minor"/>
    </font>
    <font>
      <b/>
      <sz val="13"/>
      <color rgb="FFFA7D00"/>
      <name val="Arial"/>
      <family val="2"/>
      <scheme val="minor"/>
    </font>
    <font>
      <sz val="10"/>
      <color theme="1"/>
      <name val="Arial"/>
      <family val="2"/>
      <scheme val="minor"/>
    </font>
    <font>
      <sz val="10"/>
      <color theme="0"/>
      <name val="Arial"/>
      <family val="2"/>
      <scheme val="minor"/>
    </font>
    <font>
      <sz val="11"/>
      <color rgb="FFFF0000"/>
      <name val="Arial"/>
      <family val="2"/>
      <scheme val="minor"/>
    </font>
    <font>
      <sz val="11"/>
      <name val="Arial"/>
      <family val="2"/>
      <scheme val="minor"/>
    </font>
    <font>
      <b/>
      <sz val="14"/>
      <color theme="1"/>
      <name val="Arial"/>
      <family val="2"/>
      <scheme val="minor"/>
    </font>
    <font>
      <sz val="12"/>
      <color theme="1"/>
      <name val="Arial"/>
      <family val="2"/>
      <scheme val="minor"/>
    </font>
    <font>
      <b/>
      <sz val="12"/>
      <color theme="1"/>
      <name val="Arial"/>
      <family val="2"/>
      <scheme val="minor"/>
    </font>
    <font>
      <sz val="11"/>
      <color theme="1"/>
      <name val="Calibri"/>
      <family val="2"/>
    </font>
    <font>
      <sz val="8"/>
      <name val="Arial"/>
      <family val="2"/>
      <scheme val="minor"/>
    </font>
    <font>
      <sz val="12"/>
      <name val="Arial"/>
      <family val="2"/>
      <scheme val="minor"/>
    </font>
    <font>
      <sz val="9.5"/>
      <name val="Arial"/>
      <family val="2"/>
      <scheme val="minor"/>
    </font>
    <font>
      <sz val="9.5"/>
      <color theme="1"/>
      <name val="Calibri"/>
      <family val="2"/>
    </font>
    <font>
      <sz val="11"/>
      <color rgb="FF00B050"/>
      <name val="Arial"/>
      <family val="2"/>
      <scheme val="minor"/>
    </font>
    <font>
      <vertAlign val="superscript"/>
      <sz val="11"/>
      <color theme="1"/>
      <name val="Arial"/>
      <family val="2"/>
      <scheme val="minor"/>
    </font>
    <font>
      <sz val="10"/>
      <name val="Arial"/>
      <family val="2"/>
      <scheme val="minor"/>
    </font>
    <font>
      <sz val="13"/>
      <color rgb="FFFF0000"/>
      <name val="Arial"/>
      <family val="2"/>
      <scheme val="minor"/>
    </font>
    <font>
      <sz val="9"/>
      <color theme="1"/>
      <name val="Arial"/>
      <family val="2"/>
      <scheme val="minor"/>
    </font>
    <font>
      <vertAlign val="superscript"/>
      <sz val="10"/>
      <color theme="1"/>
      <name val="Arial"/>
      <family val="2"/>
      <scheme val="minor"/>
    </font>
    <font>
      <sz val="12"/>
      <color theme="1"/>
      <name val="Aptos"/>
      <family val="2"/>
    </font>
    <font>
      <b/>
      <sz val="12"/>
      <color theme="1"/>
      <name val="Aptos"/>
      <family val="2"/>
    </font>
    <font>
      <sz val="10"/>
      <color rgb="FF000000"/>
      <name val="Arial"/>
      <family val="2"/>
    </font>
    <font>
      <sz val="10"/>
      <name val="Arial"/>
      <family val="2"/>
      <scheme val="major"/>
    </font>
    <font>
      <b/>
      <sz val="13.5"/>
      <name val="Arial"/>
      <family val="2"/>
      <scheme val="major"/>
    </font>
    <font>
      <b/>
      <sz val="10"/>
      <name val="Arial"/>
      <family val="2"/>
      <scheme val="minor"/>
    </font>
    <font>
      <sz val="8"/>
      <color theme="1"/>
      <name val="Arial"/>
      <family val="2"/>
    </font>
    <font>
      <sz val="10"/>
      <color theme="10"/>
      <name val="Arial"/>
      <family val="2"/>
      <scheme val="minor"/>
    </font>
    <font>
      <b/>
      <sz val="10"/>
      <color theme="1"/>
      <name val="Arial"/>
      <family val="2"/>
    </font>
    <font>
      <vertAlign val="superscript"/>
      <sz val="10"/>
      <color theme="1"/>
      <name val="Arial"/>
      <family val="2"/>
    </font>
    <font>
      <i/>
      <sz val="10"/>
      <color theme="1"/>
      <name val="Arial"/>
      <family val="2"/>
    </font>
    <font>
      <i/>
      <vertAlign val="superscript"/>
      <sz val="10"/>
      <color theme="1"/>
      <name val="Arial"/>
      <family val="2"/>
    </font>
    <font>
      <b/>
      <sz val="10"/>
      <color theme="1"/>
      <name val="Arial"/>
      <family val="2"/>
      <scheme val="minor"/>
    </font>
    <font>
      <sz val="8"/>
      <color theme="1"/>
      <name val="Arial"/>
      <family val="2"/>
      <scheme val="minor"/>
    </font>
    <font>
      <b/>
      <sz val="10"/>
      <color theme="0"/>
      <name val="Arial"/>
      <family val="2"/>
      <scheme val="minor"/>
    </font>
    <font>
      <sz val="10"/>
      <color rgb="FF3F3F76"/>
      <name val="Arial"/>
      <family val="2"/>
      <scheme val="minor"/>
    </font>
    <font>
      <b/>
      <sz val="10"/>
      <color rgb="FF3F3F3F"/>
      <name val="Arial"/>
      <family val="2"/>
      <scheme val="minor"/>
    </font>
    <font>
      <vertAlign val="subscript"/>
      <sz val="10"/>
      <color theme="1"/>
      <name val="Arial"/>
      <family val="2"/>
      <scheme val="minor"/>
    </font>
    <font>
      <sz val="10"/>
      <color rgb="FFFF0000"/>
      <name val="Arial"/>
      <family val="2"/>
      <scheme val="minor"/>
    </font>
    <font>
      <sz val="13.5"/>
      <color theme="1"/>
      <name val="Arial"/>
      <family val="2"/>
      <scheme val="minor"/>
    </font>
    <font>
      <b/>
      <sz val="8"/>
      <name val="Arial"/>
      <family val="2"/>
      <scheme val="major"/>
    </font>
    <font>
      <vertAlign val="subscript"/>
      <sz val="10"/>
      <color theme="0"/>
      <name val="Arial"/>
      <family val="2"/>
      <scheme val="minor"/>
    </font>
    <font>
      <b/>
      <sz val="26"/>
      <color theme="1"/>
      <name val="Arial"/>
      <family val="2"/>
      <scheme val="minor"/>
    </font>
    <font>
      <u/>
      <sz val="10"/>
      <color theme="10"/>
      <name val="Arial"/>
      <family val="2"/>
      <scheme val="minor"/>
    </font>
  </fonts>
  <fills count="19">
    <fill>
      <patternFill patternType="none"/>
    </fill>
    <fill>
      <patternFill patternType="gray125"/>
    </fill>
    <fill>
      <patternFill patternType="solid">
        <fgColor rgb="FFFFCC99"/>
      </patternFill>
    </fill>
    <fill>
      <patternFill patternType="solid">
        <fgColor rgb="FFF2F2F2"/>
      </patternFill>
    </fill>
    <fill>
      <patternFill patternType="solid">
        <fgColor rgb="FFC6EFCE"/>
      </patternFill>
    </fill>
    <fill>
      <patternFill patternType="solid">
        <fgColor rgb="FFFFC7CE"/>
      </patternFill>
    </fill>
    <fill>
      <patternFill patternType="solid">
        <fgColor rgb="FFFFCCFF"/>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99"/>
        <bgColor indexed="64"/>
      </patternFill>
    </fill>
    <fill>
      <patternFill patternType="solid">
        <fgColor theme="0"/>
        <bgColor indexed="64"/>
      </patternFill>
    </fill>
    <fill>
      <patternFill patternType="solid">
        <fgColor rgb="FFFFFF66"/>
        <bgColor indexed="64"/>
      </patternFill>
    </fill>
    <fill>
      <patternFill patternType="solid">
        <fgColor theme="6" tint="0.39997558519241921"/>
        <bgColor indexed="64"/>
      </patternFill>
    </fill>
    <fill>
      <patternFill patternType="solid">
        <fgColor rgb="FFFFFF00"/>
        <bgColor indexed="64"/>
      </patternFill>
    </fill>
    <fill>
      <patternFill patternType="solid">
        <fgColor rgb="FFFEC4BE"/>
        <bgColor indexed="64"/>
      </patternFill>
    </fill>
    <fill>
      <patternFill patternType="solid">
        <fgColor theme="9"/>
        <bgColor indexed="64"/>
      </patternFill>
    </fill>
    <fill>
      <patternFill patternType="solid">
        <fgColor theme="4"/>
        <bgColor indexed="64"/>
      </patternFill>
    </fill>
  </fills>
  <borders count="152">
    <border>
      <left/>
      <right/>
      <top/>
      <bottom/>
      <diagonal/>
    </border>
    <border>
      <left/>
      <right/>
      <top style="thin">
        <color indexed="64"/>
      </top>
      <bottom/>
      <diagonal/>
    </border>
    <border>
      <left/>
      <right/>
      <top/>
      <bottom style="thin">
        <color indexed="64"/>
      </bottom>
      <diagonal/>
    </border>
    <border>
      <left style="hair">
        <color auto="1"/>
      </left>
      <right style="thin">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thin">
        <color auto="1"/>
      </bottom>
      <diagonal/>
    </border>
    <border>
      <left style="thin">
        <color auto="1"/>
      </left>
      <right/>
      <top style="thin">
        <color auto="1"/>
      </top>
      <bottom style="hair">
        <color auto="1"/>
      </bottom>
      <diagonal/>
    </border>
    <border>
      <left/>
      <right style="hair">
        <color auto="1"/>
      </right>
      <top style="thin">
        <color auto="1"/>
      </top>
      <bottom style="hair">
        <color auto="1"/>
      </bottom>
      <diagonal/>
    </border>
    <border>
      <left style="thin">
        <color auto="1"/>
      </left>
      <right/>
      <top style="hair">
        <color auto="1"/>
      </top>
      <bottom style="hair">
        <color auto="1"/>
      </bottom>
      <diagonal/>
    </border>
    <border>
      <left/>
      <right style="hair">
        <color auto="1"/>
      </right>
      <top style="hair">
        <color auto="1"/>
      </top>
      <bottom style="hair">
        <color auto="1"/>
      </bottom>
      <diagonal/>
    </border>
    <border>
      <left style="thin">
        <color auto="1"/>
      </left>
      <right/>
      <top style="hair">
        <color auto="1"/>
      </top>
      <bottom style="thin">
        <color auto="1"/>
      </bottom>
      <diagonal/>
    </border>
    <border>
      <left/>
      <right/>
      <top/>
      <bottom style="hair">
        <color auto="1"/>
      </bottom>
      <diagonal/>
    </border>
    <border>
      <left/>
      <right/>
      <top style="thin">
        <color auto="1"/>
      </top>
      <bottom style="hair">
        <color auto="1"/>
      </bottom>
      <diagonal/>
    </border>
    <border>
      <left style="hair">
        <color auto="1"/>
      </left>
      <right/>
      <top style="thin">
        <color auto="1"/>
      </top>
      <bottom style="hair">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right style="thin">
        <color indexed="64"/>
      </right>
      <top style="thin">
        <color indexed="64"/>
      </top>
      <bottom style="hair">
        <color indexed="64"/>
      </bottom>
      <diagonal/>
    </border>
    <border>
      <left/>
      <right/>
      <top style="hair">
        <color auto="1"/>
      </top>
      <bottom style="hair">
        <color indexed="64"/>
      </bottom>
      <diagonal/>
    </border>
    <border>
      <left/>
      <right style="thin">
        <color indexed="64"/>
      </right>
      <top style="hair">
        <color auto="1"/>
      </top>
      <bottom style="hair">
        <color indexed="64"/>
      </bottom>
      <diagonal/>
    </border>
    <border>
      <left/>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bottom style="hair">
        <color auto="1"/>
      </bottom>
      <diagonal/>
    </border>
    <border>
      <left/>
      <right style="hair">
        <color auto="1"/>
      </right>
      <top/>
      <bottom/>
      <diagonal/>
    </border>
    <border>
      <left style="hair">
        <color auto="1"/>
      </left>
      <right style="hair">
        <color auto="1"/>
      </right>
      <top/>
      <bottom/>
      <diagonal/>
    </border>
    <border>
      <left style="hair">
        <color auto="1"/>
      </left>
      <right style="hair">
        <color indexed="64"/>
      </right>
      <top/>
      <bottom style="thin">
        <color auto="1"/>
      </bottom>
      <diagonal/>
    </border>
    <border>
      <left/>
      <right style="hair">
        <color auto="1"/>
      </right>
      <top/>
      <bottom style="thin">
        <color auto="1"/>
      </bottom>
      <diagonal/>
    </border>
    <border>
      <left style="hair">
        <color auto="1"/>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medium">
        <color indexed="64"/>
      </left>
      <right style="medium">
        <color indexed="64"/>
      </right>
      <top/>
      <bottom/>
      <diagonal/>
    </border>
    <border>
      <left/>
      <right/>
      <top style="medium">
        <color indexed="64"/>
      </top>
      <bottom style="thin">
        <color auto="1"/>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hair">
        <color auto="1"/>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hair">
        <color indexed="64"/>
      </left>
      <right/>
      <top style="medium">
        <color indexed="64"/>
      </top>
      <bottom/>
      <diagonal/>
    </border>
    <border>
      <left style="hair">
        <color auto="1"/>
      </left>
      <right style="hair">
        <color auto="1"/>
      </right>
      <top style="thin">
        <color auto="1"/>
      </top>
      <bottom style="medium">
        <color indexed="64"/>
      </bottom>
      <diagonal/>
    </border>
    <border>
      <left/>
      <right/>
      <top style="medium">
        <color indexed="64"/>
      </top>
      <bottom style="hair">
        <color indexed="64"/>
      </bottom>
      <diagonal/>
    </border>
    <border>
      <left/>
      <right/>
      <top style="hair">
        <color indexed="64"/>
      </top>
      <bottom style="medium">
        <color indexed="64"/>
      </bottom>
      <diagonal/>
    </border>
    <border>
      <left style="medium">
        <color indexed="64"/>
      </left>
      <right/>
      <top style="hair">
        <color indexed="64"/>
      </top>
      <bottom style="hair">
        <color auto="1"/>
      </bottom>
      <diagonal/>
    </border>
    <border>
      <left/>
      <right style="medium">
        <color indexed="64"/>
      </right>
      <top style="hair">
        <color indexed="64"/>
      </top>
      <bottom style="hair">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thin">
        <color auto="1"/>
      </left>
      <right style="hair">
        <color auto="1"/>
      </right>
      <top style="thin">
        <color auto="1"/>
      </top>
      <bottom style="hair">
        <color auto="1"/>
      </bottom>
      <diagonal/>
    </border>
    <border>
      <left style="thin">
        <color auto="1"/>
      </left>
      <right style="hair">
        <color auto="1"/>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hair">
        <color indexed="64"/>
      </right>
      <top style="medium">
        <color indexed="64"/>
      </top>
      <bottom/>
      <diagonal/>
    </border>
    <border>
      <left/>
      <right style="hair">
        <color indexed="64"/>
      </right>
      <top style="medium">
        <color indexed="64"/>
      </top>
      <bottom/>
      <diagonal/>
    </border>
    <border>
      <left/>
      <right/>
      <top style="thin">
        <color auto="1"/>
      </top>
      <bottom style="medium">
        <color indexed="64"/>
      </bottom>
      <diagonal/>
    </border>
    <border>
      <left style="hair">
        <color auto="1"/>
      </left>
      <right/>
      <top style="thin">
        <color auto="1"/>
      </top>
      <bottom style="medium">
        <color indexed="64"/>
      </bottom>
      <diagonal/>
    </border>
    <border>
      <left/>
      <right style="medium">
        <color indexed="64"/>
      </right>
      <top style="medium">
        <color indexed="64"/>
      </top>
      <bottom style="hair">
        <color indexed="64"/>
      </bottom>
      <diagonal/>
    </border>
    <border>
      <left style="hair">
        <color auto="1"/>
      </left>
      <right/>
      <top/>
      <bottom style="thin">
        <color auto="1"/>
      </bottom>
      <diagonal/>
    </border>
    <border>
      <left style="thin">
        <color auto="1"/>
      </left>
      <right/>
      <top/>
      <bottom style="hair">
        <color auto="1"/>
      </bottom>
      <diagonal/>
    </border>
    <border>
      <left style="thin">
        <color indexed="64"/>
      </left>
      <right/>
      <top/>
      <bottom/>
      <diagonal/>
    </border>
    <border>
      <left/>
      <right style="thin">
        <color indexed="64"/>
      </right>
      <top/>
      <bottom style="hair">
        <color indexed="64"/>
      </bottom>
      <diagonal/>
    </border>
    <border>
      <left/>
      <right style="thin">
        <color indexed="64"/>
      </right>
      <top style="hair">
        <color auto="1"/>
      </top>
      <bottom style="thin">
        <color indexed="64"/>
      </bottom>
      <diagonal/>
    </border>
    <border>
      <left/>
      <right style="thin">
        <color indexed="64"/>
      </right>
      <top style="thin">
        <color auto="1"/>
      </top>
      <bottom style="thin">
        <color auto="1"/>
      </bottom>
      <diagonal/>
    </border>
    <border>
      <left/>
      <right style="medium">
        <color indexed="64"/>
      </right>
      <top style="thin">
        <color indexed="64"/>
      </top>
      <bottom style="medium">
        <color indexed="64"/>
      </bottom>
      <diagonal/>
    </border>
    <border>
      <left style="thin">
        <color indexed="64"/>
      </left>
      <right/>
      <top style="thin">
        <color auto="1"/>
      </top>
      <bottom style="thin">
        <color auto="1"/>
      </bottom>
      <diagonal/>
    </border>
    <border>
      <left style="hair">
        <color auto="1"/>
      </left>
      <right/>
      <top/>
      <bottom style="hair">
        <color auto="1"/>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hair">
        <color auto="1"/>
      </left>
      <right/>
      <top style="hair">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hair">
        <color auto="1"/>
      </top>
      <bottom/>
      <diagonal/>
    </border>
    <border>
      <left style="hair">
        <color auto="1"/>
      </left>
      <right style="hair">
        <color auto="1"/>
      </right>
      <top style="hair">
        <color auto="1"/>
      </top>
      <bottom/>
      <diagonal/>
    </border>
    <border>
      <left style="thin">
        <color indexed="64"/>
      </left>
      <right style="hair">
        <color auto="1"/>
      </right>
      <top/>
      <bottom/>
      <diagonal/>
    </border>
    <border>
      <left style="hair">
        <color auto="1"/>
      </left>
      <right style="thin">
        <color indexed="64"/>
      </right>
      <top/>
      <bottom/>
      <diagonal/>
    </border>
    <border>
      <left style="thin">
        <color indexed="64"/>
      </left>
      <right style="hair">
        <color indexed="64"/>
      </right>
      <top/>
      <bottom style="thin">
        <color auto="1"/>
      </bottom>
      <diagonal/>
    </border>
    <border>
      <left style="hair">
        <color auto="1"/>
      </left>
      <right style="thin">
        <color indexed="64"/>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thin">
        <color auto="1"/>
      </top>
      <bottom style="medium">
        <color indexed="64"/>
      </bottom>
      <diagonal/>
    </border>
    <border>
      <left/>
      <right style="hair">
        <color auto="1"/>
      </right>
      <top style="hair">
        <color auto="1"/>
      </top>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style="hair">
        <color auto="1"/>
      </bottom>
      <diagonal/>
    </border>
    <border>
      <left style="medium">
        <color indexed="64"/>
      </left>
      <right style="medium">
        <color indexed="64"/>
      </right>
      <top style="hair">
        <color auto="1"/>
      </top>
      <bottom style="hair">
        <color auto="1"/>
      </bottom>
      <diagonal/>
    </border>
    <border>
      <left style="medium">
        <color indexed="64"/>
      </left>
      <right style="medium">
        <color indexed="64"/>
      </right>
      <top style="thin">
        <color auto="1"/>
      </top>
      <bottom style="medium">
        <color indexed="64"/>
      </bottom>
      <diagonal/>
    </border>
    <border>
      <left style="medium">
        <color indexed="64"/>
      </left>
      <right style="hair">
        <color indexed="64"/>
      </right>
      <top style="medium">
        <color indexed="64"/>
      </top>
      <bottom/>
      <diagonal/>
    </border>
    <border>
      <left style="hair">
        <color indexed="64"/>
      </left>
      <right style="medium">
        <color indexed="64"/>
      </right>
      <top style="medium">
        <color indexed="64"/>
      </top>
      <bottom/>
      <diagonal/>
    </border>
    <border>
      <left/>
      <right style="hair">
        <color auto="1"/>
      </right>
      <top/>
      <bottom style="hair">
        <color auto="1"/>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top/>
      <bottom style="thick">
        <color theme="0"/>
      </bottom>
      <diagonal/>
    </border>
    <border>
      <left/>
      <right style="thick">
        <color theme="0"/>
      </right>
      <top/>
      <bottom style="thick">
        <color theme="0"/>
      </bottom>
      <diagonal/>
    </border>
    <border>
      <left style="thick">
        <color theme="0"/>
      </left>
      <right style="thick">
        <color theme="0"/>
      </right>
      <top/>
      <bottom style="thick">
        <color theme="0"/>
      </bottom>
      <diagonal/>
    </border>
    <border>
      <left style="thick">
        <color theme="0"/>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diagonal/>
    </border>
    <border>
      <left style="thick">
        <color theme="0"/>
      </left>
      <right/>
      <top style="thick">
        <color theme="0"/>
      </top>
      <bottom/>
      <diagonal/>
    </border>
    <border>
      <left/>
      <right/>
      <top style="thick">
        <color theme="0"/>
      </top>
      <bottom/>
      <diagonal/>
    </border>
    <border>
      <left/>
      <right style="hair">
        <color auto="1"/>
      </right>
      <top style="thick">
        <color theme="0"/>
      </top>
      <bottom style="thick">
        <color theme="0"/>
      </bottom>
      <diagonal/>
    </border>
    <border>
      <left/>
      <right/>
      <top style="thick">
        <color theme="0"/>
      </top>
      <bottom style="hair">
        <color auto="1"/>
      </bottom>
      <diagonal/>
    </border>
    <border>
      <left/>
      <right style="hair">
        <color indexed="64"/>
      </right>
      <top style="thin">
        <color indexed="64"/>
      </top>
      <bottom/>
      <diagonal/>
    </border>
    <border>
      <left style="hair">
        <color auto="1"/>
      </left>
      <right/>
      <top style="thin">
        <color auto="1"/>
      </top>
      <bottom/>
      <diagonal/>
    </border>
    <border>
      <left/>
      <right style="thin">
        <color indexed="64"/>
      </right>
      <top style="hair">
        <color indexed="64"/>
      </top>
      <bottom/>
      <diagonal/>
    </border>
    <border>
      <left style="thin">
        <color indexed="64"/>
      </left>
      <right/>
      <top style="hair">
        <color indexed="64"/>
      </top>
      <bottom/>
      <diagonal/>
    </border>
    <border>
      <left/>
      <right style="thin">
        <color indexed="64"/>
      </right>
      <top style="thick">
        <color theme="0"/>
      </top>
      <bottom/>
      <diagonal/>
    </border>
    <border>
      <left style="thin">
        <color indexed="64"/>
      </left>
      <right/>
      <top style="thick">
        <color theme="0"/>
      </top>
      <bottom/>
      <diagonal/>
    </border>
    <border>
      <left/>
      <right style="hair">
        <color auto="1"/>
      </right>
      <top style="thick">
        <color theme="0"/>
      </top>
      <bottom/>
      <diagonal/>
    </border>
    <border>
      <left style="hair">
        <color auto="1"/>
      </left>
      <right/>
      <top style="thick">
        <color theme="0"/>
      </top>
      <bottom/>
      <diagonal/>
    </border>
    <border>
      <left style="thin">
        <color indexed="64"/>
      </left>
      <right style="hair">
        <color auto="1"/>
      </right>
      <top style="thin">
        <color auto="1"/>
      </top>
      <bottom/>
      <diagonal/>
    </border>
    <border>
      <left style="hair">
        <color auto="1"/>
      </left>
      <right style="hair">
        <color auto="1"/>
      </right>
      <top style="thin">
        <color auto="1"/>
      </top>
      <bottom/>
      <diagonal/>
    </border>
    <border>
      <left/>
      <right style="thick">
        <color theme="0"/>
      </right>
      <top/>
      <bottom/>
      <diagonal/>
    </border>
    <border>
      <left style="hair">
        <color auto="1"/>
      </left>
      <right/>
      <top style="thick">
        <color theme="0"/>
      </top>
      <bottom style="thick">
        <color theme="0"/>
      </bottom>
      <diagonal/>
    </border>
    <border>
      <left style="thin">
        <color theme="0"/>
      </left>
      <right/>
      <top style="thin">
        <color theme="0"/>
      </top>
      <bottom/>
      <diagonal/>
    </border>
    <border>
      <left style="thin">
        <color theme="0"/>
      </left>
      <right/>
      <top/>
      <bottom style="thin">
        <color theme="0"/>
      </bottom>
      <diagonal/>
    </border>
    <border>
      <left/>
      <right style="thick">
        <color theme="0"/>
      </right>
      <top style="thick">
        <color theme="0"/>
      </top>
      <bottom style="hair">
        <color auto="1"/>
      </bottom>
      <diagonal/>
    </border>
    <border>
      <left style="thick">
        <color theme="0"/>
      </left>
      <right style="thick">
        <color theme="0"/>
      </right>
      <top style="thick">
        <color theme="0"/>
      </top>
      <bottom style="hair">
        <color auto="1"/>
      </bottom>
      <diagonal/>
    </border>
    <border>
      <left/>
      <right style="thick">
        <color theme="0"/>
      </right>
      <top style="hair">
        <color auto="1"/>
      </top>
      <bottom style="hair">
        <color auto="1"/>
      </bottom>
      <diagonal/>
    </border>
    <border>
      <left style="thick">
        <color theme="0"/>
      </left>
      <right style="thick">
        <color theme="0"/>
      </right>
      <top style="hair">
        <color auto="1"/>
      </top>
      <bottom style="hair">
        <color auto="1"/>
      </bottom>
      <diagonal/>
    </border>
    <border>
      <left style="thick">
        <color theme="0"/>
      </left>
      <right/>
      <top style="hair">
        <color auto="1"/>
      </top>
      <bottom style="hair">
        <color auto="1"/>
      </bottom>
      <diagonal/>
    </border>
    <border>
      <left/>
      <right style="thick">
        <color theme="0"/>
      </right>
      <top/>
      <bottom style="hair">
        <color auto="1"/>
      </bottom>
      <diagonal/>
    </border>
    <border>
      <left/>
      <right style="thick">
        <color theme="0"/>
      </right>
      <top style="hair">
        <color auto="1"/>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auto="1"/>
      </left>
      <right style="hair">
        <color auto="1"/>
      </right>
      <top style="hair">
        <color indexed="64"/>
      </top>
      <bottom/>
      <diagonal/>
    </border>
    <border>
      <left style="hair">
        <color auto="1"/>
      </left>
      <right style="thin">
        <color auto="1"/>
      </right>
      <top style="hair">
        <color auto="1"/>
      </top>
      <bottom/>
      <diagonal/>
    </border>
    <border>
      <left/>
      <right/>
      <top style="thin">
        <color theme="0"/>
      </top>
      <bottom/>
      <diagonal/>
    </border>
    <border>
      <left/>
      <right/>
      <top/>
      <bottom style="thin">
        <color theme="0"/>
      </bottom>
      <diagonal/>
    </border>
  </borders>
  <cellStyleXfs count="11">
    <xf numFmtId="0" fontId="0" fillId="0" borderId="0"/>
    <xf numFmtId="0" fontId="38" fillId="0" borderId="0"/>
    <xf numFmtId="0" fontId="5" fillId="2" borderId="28" applyNumberFormat="0" applyAlignment="0" applyProtection="0"/>
    <xf numFmtId="0" fontId="6" fillId="3" borderId="29" applyNumberFormat="0" applyAlignment="0" applyProtection="0"/>
    <xf numFmtId="0" fontId="7" fillId="3" borderId="28" applyNumberFormat="0" applyAlignment="0" applyProtection="0"/>
    <xf numFmtId="0" fontId="9" fillId="4" borderId="0" applyNumberFormat="0" applyBorder="0" applyAlignment="0" applyProtection="0"/>
    <xf numFmtId="0" fontId="10" fillId="5" borderId="0" applyNumberFormat="0" applyBorder="0" applyAlignment="0" applyProtection="0"/>
    <xf numFmtId="0" fontId="42"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Alignment="0" applyProtection="0"/>
    <xf numFmtId="0" fontId="49" fillId="18" borderId="0" applyNumberFormat="0" applyProtection="0">
      <alignment vertical="center"/>
    </xf>
  </cellStyleXfs>
  <cellXfs count="731">
    <xf numFmtId="0" fontId="0" fillId="0" borderId="0" xfId="0"/>
    <xf numFmtId="0" fontId="0" fillId="0" borderId="0" xfId="0" applyAlignment="1">
      <alignment vertical="top"/>
    </xf>
    <xf numFmtId="2" fontId="0" fillId="0" borderId="0" xfId="0" applyNumberFormat="1"/>
    <xf numFmtId="164" fontId="0" fillId="0" borderId="0" xfId="0" applyNumberFormat="1"/>
    <xf numFmtId="3" fontId="0" fillId="0" borderId="0" xfId="0" applyNumberFormat="1"/>
    <xf numFmtId="3" fontId="0" fillId="0" borderId="1" xfId="0" applyNumberFormat="1" applyBorder="1"/>
    <xf numFmtId="0" fontId="0" fillId="0" borderId="0" xfId="0" applyAlignment="1">
      <alignment wrapText="1"/>
    </xf>
    <xf numFmtId="0" fontId="8" fillId="0" borderId="0" xfId="0" applyFont="1"/>
    <xf numFmtId="0" fontId="4" fillId="0" borderId="0" xfId="0" applyFont="1" applyAlignment="1">
      <alignment horizontal="left" vertical="top" wrapText="1"/>
    </xf>
    <xf numFmtId="0" fontId="4" fillId="0" borderId="32" xfId="0" applyFont="1" applyBorder="1"/>
    <xf numFmtId="0" fontId="4" fillId="0" borderId="31" xfId="0" applyFont="1" applyBorder="1" applyAlignment="1">
      <alignment vertical="center"/>
    </xf>
    <xf numFmtId="3" fontId="4" fillId="0" borderId="31" xfId="0" applyNumberFormat="1" applyFont="1" applyBorder="1" applyAlignment="1">
      <alignment vertical="center"/>
    </xf>
    <xf numFmtId="0" fontId="11" fillId="0" borderId="0" xfId="0" applyFont="1"/>
    <xf numFmtId="0" fontId="0" fillId="0" borderId="0" xfId="0" applyAlignment="1">
      <alignment horizontal="center"/>
    </xf>
    <xf numFmtId="0" fontId="0" fillId="6" borderId="0" xfId="0" applyFill="1"/>
    <xf numFmtId="0" fontId="0" fillId="0" borderId="1" xfId="0" applyBorder="1"/>
    <xf numFmtId="0" fontId="12" fillId="0" borderId="0" xfId="0" applyFont="1"/>
    <xf numFmtId="0" fontId="12" fillId="6" borderId="18" xfId="0" applyFont="1" applyFill="1" applyBorder="1"/>
    <xf numFmtId="0" fontId="17" fillId="0" borderId="0" xfId="0" applyFont="1"/>
    <xf numFmtId="0" fontId="12" fillId="6" borderId="13" xfId="0" applyFont="1" applyFill="1" applyBorder="1"/>
    <xf numFmtId="0" fontId="12" fillId="6" borderId="58" xfId="0" applyFont="1" applyFill="1" applyBorder="1"/>
    <xf numFmtId="0" fontId="12" fillId="6" borderId="0" xfId="0" applyFont="1" applyFill="1"/>
    <xf numFmtId="0" fontId="12" fillId="6" borderId="4" xfId="0" applyFont="1" applyFill="1" applyBorder="1"/>
    <xf numFmtId="0" fontId="12" fillId="6" borderId="59" xfId="0" applyFont="1" applyFill="1" applyBorder="1"/>
    <xf numFmtId="3" fontId="12" fillId="6" borderId="4" xfId="0" applyNumberFormat="1" applyFont="1" applyFill="1" applyBorder="1"/>
    <xf numFmtId="0" fontId="11" fillId="6" borderId="38" xfId="0" applyFont="1" applyFill="1" applyBorder="1"/>
    <xf numFmtId="0" fontId="12" fillId="6" borderId="24" xfId="0" applyFont="1" applyFill="1" applyBorder="1"/>
    <xf numFmtId="0" fontId="12" fillId="6" borderId="12" xfId="0" applyFont="1" applyFill="1" applyBorder="1"/>
    <xf numFmtId="0" fontId="12" fillId="6" borderId="57" xfId="0" applyFont="1" applyFill="1" applyBorder="1"/>
    <xf numFmtId="0" fontId="0" fillId="6" borderId="35" xfId="0" applyFill="1" applyBorder="1"/>
    <xf numFmtId="0" fontId="0" fillId="6" borderId="36" xfId="0" applyFill="1" applyBorder="1"/>
    <xf numFmtId="165" fontId="0" fillId="6" borderId="0" xfId="0" applyNumberFormat="1" applyFill="1"/>
    <xf numFmtId="2" fontId="0" fillId="6" borderId="0" xfId="0" applyNumberFormat="1" applyFill="1"/>
    <xf numFmtId="1" fontId="0" fillId="6" borderId="0" xfId="0" applyNumberFormat="1" applyFill="1"/>
    <xf numFmtId="0" fontId="17" fillId="0" borderId="24" xfId="0" applyFont="1" applyBorder="1" applyAlignment="1">
      <alignment horizontal="right"/>
    </xf>
    <xf numFmtId="0" fontId="17" fillId="0" borderId="25" xfId="0" applyFont="1" applyBorder="1" applyAlignment="1">
      <alignment horizontal="right"/>
    </xf>
    <xf numFmtId="0" fontId="0" fillId="0" borderId="0" xfId="0" applyAlignment="1">
      <alignment horizontal="left"/>
    </xf>
    <xf numFmtId="0" fontId="12" fillId="6" borderId="15" xfId="0" applyFont="1" applyFill="1" applyBorder="1"/>
    <xf numFmtId="0" fontId="14" fillId="0" borderId="0" xfId="0" applyFont="1"/>
    <xf numFmtId="0" fontId="12" fillId="6" borderId="60" xfId="0" applyFont="1" applyFill="1" applyBorder="1"/>
    <xf numFmtId="0" fontId="0" fillId="7" borderId="0" xfId="0" applyFill="1"/>
    <xf numFmtId="2" fontId="0" fillId="7" borderId="0" xfId="0" applyNumberFormat="1" applyFill="1"/>
    <xf numFmtId="3" fontId="0" fillId="7" borderId="0" xfId="0" applyNumberFormat="1" applyFill="1"/>
    <xf numFmtId="0" fontId="0" fillId="9" borderId="0" xfId="0" applyFill="1"/>
    <xf numFmtId="0" fontId="19" fillId="0" borderId="0" xfId="0" applyFont="1"/>
    <xf numFmtId="169" fontId="0" fillId="7" borderId="0" xfId="0" applyNumberFormat="1" applyFill="1"/>
    <xf numFmtId="168" fontId="0" fillId="7" borderId="0" xfId="0" applyNumberFormat="1" applyFill="1"/>
    <xf numFmtId="167" fontId="0" fillId="7" borderId="0" xfId="0" applyNumberFormat="1" applyFill="1"/>
    <xf numFmtId="0" fontId="12" fillId="6" borderId="62" xfId="0" applyFont="1" applyFill="1" applyBorder="1"/>
    <xf numFmtId="3" fontId="12" fillId="6" borderId="22" xfId="0" applyNumberFormat="1" applyFont="1" applyFill="1" applyBorder="1"/>
    <xf numFmtId="0" fontId="20" fillId="0" borderId="0" xfId="0" applyFont="1"/>
    <xf numFmtId="0" fontId="12" fillId="0" borderId="0" xfId="0" applyFont="1" applyAlignment="1">
      <alignment vertical="center"/>
    </xf>
    <xf numFmtId="0" fontId="8" fillId="9" borderId="0" xfId="0" applyFont="1" applyFill="1" applyAlignment="1">
      <alignment vertical="center"/>
    </xf>
    <xf numFmtId="0" fontId="11" fillId="9" borderId="0" xfId="0" applyFont="1" applyFill="1"/>
    <xf numFmtId="0" fontId="12" fillId="9" borderId="0" xfId="0" applyFont="1" applyFill="1"/>
    <xf numFmtId="0" fontId="12" fillId="9" borderId="0" xfId="0" applyFont="1" applyFill="1" applyAlignment="1">
      <alignment horizontal="left"/>
    </xf>
    <xf numFmtId="0" fontId="13" fillId="9" borderId="0" xfId="5" applyFont="1" applyFill="1" applyBorder="1" applyAlignment="1" applyProtection="1"/>
    <xf numFmtId="0" fontId="13" fillId="9" borderId="0" xfId="6" applyFont="1" applyFill="1" applyBorder="1" applyAlignment="1" applyProtection="1"/>
    <xf numFmtId="0" fontId="12" fillId="9" borderId="0" xfId="0" applyFont="1" applyFill="1" applyAlignment="1">
      <alignment wrapText="1"/>
    </xf>
    <xf numFmtId="3" fontId="13" fillId="9" borderId="0" xfId="4" applyNumberFormat="1" applyFont="1" applyFill="1" applyBorder="1" applyAlignment="1" applyProtection="1"/>
    <xf numFmtId="0" fontId="14" fillId="9" borderId="0" xfId="0" applyFont="1" applyFill="1"/>
    <xf numFmtId="3" fontId="15" fillId="9" borderId="0" xfId="4" applyNumberFormat="1" applyFont="1" applyFill="1" applyBorder="1" applyAlignment="1" applyProtection="1"/>
    <xf numFmtId="0" fontId="13" fillId="9" borderId="0" xfId="0" applyFont="1" applyFill="1"/>
    <xf numFmtId="0" fontId="13" fillId="9" borderId="0" xfId="4" applyFont="1" applyFill="1" applyBorder="1" applyAlignment="1" applyProtection="1">
      <alignment horizontal="left"/>
    </xf>
    <xf numFmtId="0" fontId="16" fillId="9" borderId="0" xfId="4" applyFont="1" applyFill="1" applyBorder="1" applyAlignment="1" applyProtection="1"/>
    <xf numFmtId="0" fontId="12" fillId="9" borderId="0" xfId="0" applyFont="1" applyFill="1" applyProtection="1">
      <protection locked="0"/>
    </xf>
    <xf numFmtId="170" fontId="11" fillId="9" borderId="0" xfId="0" applyNumberFormat="1" applyFont="1" applyFill="1"/>
    <xf numFmtId="0" fontId="42" fillId="0" borderId="0" xfId="7"/>
    <xf numFmtId="3" fontId="12" fillId="0" borderId="0" xfId="0" applyNumberFormat="1" applyFont="1"/>
    <xf numFmtId="0" fontId="12" fillId="0" borderId="0" xfId="0" applyFont="1" applyAlignment="1">
      <alignment horizontal="right"/>
    </xf>
    <xf numFmtId="0" fontId="0" fillId="9" borderId="83" xfId="0" applyFill="1" applyBorder="1" applyAlignment="1">
      <alignment wrapText="1"/>
    </xf>
    <xf numFmtId="0" fontId="0" fillId="9" borderId="84" xfId="0" applyFill="1" applyBorder="1" applyAlignment="1">
      <alignment wrapText="1"/>
    </xf>
    <xf numFmtId="2" fontId="0" fillId="9" borderId="84" xfId="0" applyNumberFormat="1" applyFill="1" applyBorder="1" applyAlignment="1">
      <alignment wrapText="1"/>
    </xf>
    <xf numFmtId="2" fontId="0" fillId="9" borderId="85" xfId="0" applyNumberFormat="1" applyFill="1" applyBorder="1" applyAlignment="1">
      <alignment wrapText="1"/>
    </xf>
    <xf numFmtId="0" fontId="0" fillId="0" borderId="82" xfId="0" applyBorder="1" applyAlignment="1">
      <alignment horizontal="center"/>
    </xf>
    <xf numFmtId="0" fontId="0" fillId="0" borderId="0" xfId="0" applyAlignment="1">
      <alignment horizontal="left" vertical="top"/>
    </xf>
    <xf numFmtId="0" fontId="42" fillId="0" borderId="0" xfId="7" applyAlignment="1">
      <alignment horizontal="left" vertical="top"/>
    </xf>
    <xf numFmtId="0" fontId="23" fillId="0" borderId="2" xfId="0" applyFont="1" applyBorder="1"/>
    <xf numFmtId="0" fontId="23" fillId="0" borderId="2" xfId="0" applyFont="1" applyBorder="1" applyAlignment="1">
      <alignment wrapText="1"/>
    </xf>
    <xf numFmtId="171" fontId="0" fillId="0" borderId="0" xfId="0" applyNumberFormat="1"/>
    <xf numFmtId="171" fontId="23" fillId="0" borderId="2" xfId="0" applyNumberFormat="1" applyFont="1" applyBorder="1" applyAlignment="1">
      <alignment wrapText="1"/>
    </xf>
    <xf numFmtId="171" fontId="0" fillId="7" borderId="0" xfId="0" applyNumberFormat="1" applyFill="1"/>
    <xf numFmtId="171" fontId="0" fillId="0" borderId="0" xfId="0" applyNumberFormat="1" applyAlignment="1">
      <alignment wrapText="1"/>
    </xf>
    <xf numFmtId="2" fontId="0" fillId="12" borderId="74" xfId="0" applyNumberFormat="1" applyFill="1" applyBorder="1"/>
    <xf numFmtId="2" fontId="0" fillId="12" borderId="81" xfId="0" applyNumberFormat="1" applyFill="1" applyBorder="1"/>
    <xf numFmtId="2" fontId="0" fillId="12" borderId="88" xfId="0" applyNumberFormat="1" applyFill="1" applyBorder="1"/>
    <xf numFmtId="2" fontId="0" fillId="12" borderId="89" xfId="0" applyNumberFormat="1" applyFill="1" applyBorder="1"/>
    <xf numFmtId="0" fontId="0" fillId="13" borderId="74" xfId="0" applyFill="1" applyBorder="1" applyAlignment="1">
      <alignment wrapText="1"/>
    </xf>
    <xf numFmtId="0" fontId="0" fillId="13" borderId="81" xfId="0" applyFill="1" applyBorder="1" applyAlignment="1">
      <alignment wrapText="1"/>
    </xf>
    <xf numFmtId="0" fontId="0" fillId="13" borderId="86" xfId="0" applyFill="1" applyBorder="1"/>
    <xf numFmtId="0" fontId="0" fillId="13" borderId="87" xfId="0" applyFill="1" applyBorder="1"/>
    <xf numFmtId="171" fontId="0" fillId="0" borderId="0" xfId="0" applyNumberFormat="1" applyAlignment="1">
      <alignment textRotation="90" wrapText="1"/>
    </xf>
    <xf numFmtId="0" fontId="0" fillId="0" borderId="0" xfId="0" applyAlignment="1">
      <alignment textRotation="90"/>
    </xf>
    <xf numFmtId="0" fontId="14" fillId="6" borderId="0" xfId="0" applyFont="1" applyFill="1"/>
    <xf numFmtId="171" fontId="0" fillId="0" borderId="0" xfId="0" applyNumberFormat="1" applyAlignment="1">
      <alignment vertical="top"/>
    </xf>
    <xf numFmtId="2" fontId="19" fillId="7" borderId="0" xfId="0" applyNumberFormat="1" applyFont="1" applyFill="1"/>
    <xf numFmtId="14" fontId="12" fillId="0" borderId="0" xfId="0" applyNumberFormat="1" applyFont="1" applyAlignment="1">
      <alignment horizontal="left"/>
    </xf>
    <xf numFmtId="0" fontId="22" fillId="9" borderId="0" xfId="0" applyFont="1" applyFill="1"/>
    <xf numFmtId="0" fontId="22" fillId="9" borderId="0" xfId="0" applyFont="1" applyFill="1" applyAlignment="1">
      <alignment horizontal="left"/>
    </xf>
    <xf numFmtId="0" fontId="26" fillId="9" borderId="0" xfId="6" applyFont="1" applyFill="1" applyBorder="1" applyAlignment="1" applyProtection="1">
      <alignment horizontal="left"/>
    </xf>
    <xf numFmtId="0" fontId="22" fillId="9" borderId="0" xfId="0" applyFont="1" applyFill="1" applyAlignment="1">
      <alignment horizontal="right"/>
    </xf>
    <xf numFmtId="2" fontId="20" fillId="7" borderId="0" xfId="0" applyNumberFormat="1" applyFont="1" applyFill="1"/>
    <xf numFmtId="0" fontId="20" fillId="13" borderId="81" xfId="0" applyFont="1" applyFill="1" applyBorder="1" applyAlignment="1">
      <alignment wrapText="1"/>
    </xf>
    <xf numFmtId="1" fontId="0" fillId="0" borderId="0" xfId="0" applyNumberFormat="1"/>
    <xf numFmtId="3" fontId="0" fillId="7" borderId="74" xfId="0" applyNumberFormat="1" applyFill="1" applyBorder="1"/>
    <xf numFmtId="3" fontId="0" fillId="7" borderId="81" xfId="0" applyNumberFormat="1" applyFill="1" applyBorder="1"/>
    <xf numFmtId="2" fontId="29" fillId="7" borderId="0" xfId="0" applyNumberFormat="1" applyFont="1" applyFill="1"/>
    <xf numFmtId="0" fontId="29" fillId="0" borderId="0" xfId="0" applyFont="1"/>
    <xf numFmtId="0" fontId="0" fillId="7" borderId="0" xfId="0" applyFill="1" applyProtection="1">
      <protection locked="0"/>
    </xf>
    <xf numFmtId="14" fontId="0" fillId="7" borderId="0" xfId="0" applyNumberFormat="1" applyFill="1" applyAlignment="1" applyProtection="1">
      <alignment horizontal="left"/>
      <protection locked="0"/>
    </xf>
    <xf numFmtId="0" fontId="0" fillId="7" borderId="0" xfId="0" quotePrefix="1" applyFill="1" applyProtection="1">
      <protection locked="0"/>
    </xf>
    <xf numFmtId="171" fontId="0" fillId="7" borderId="0" xfId="0" applyNumberFormat="1" applyFill="1" applyProtection="1">
      <protection locked="0"/>
    </xf>
    <xf numFmtId="171" fontId="0" fillId="0" borderId="86" xfId="0" applyNumberFormat="1" applyBorder="1" applyAlignment="1">
      <alignment textRotation="90"/>
    </xf>
    <xf numFmtId="171" fontId="0" fillId="0" borderId="1" xfId="0" applyNumberFormat="1" applyBorder="1" applyAlignment="1">
      <alignment textRotation="90"/>
    </xf>
    <xf numFmtId="0" fontId="0" fillId="0" borderId="87" xfId="0" applyBorder="1" applyAlignment="1">
      <alignment textRotation="90"/>
    </xf>
    <xf numFmtId="1" fontId="0" fillId="0" borderId="74" xfId="0" applyNumberFormat="1" applyBorder="1"/>
    <xf numFmtId="172" fontId="0" fillId="7" borderId="0" xfId="0" applyNumberFormat="1" applyFill="1" applyProtection="1">
      <protection locked="0"/>
    </xf>
    <xf numFmtId="14" fontId="0" fillId="7" borderId="0" xfId="0" applyNumberFormat="1" applyFill="1"/>
    <xf numFmtId="1" fontId="0" fillId="0" borderId="88" xfId="0" applyNumberFormat="1" applyBorder="1"/>
    <xf numFmtId="3" fontId="0" fillId="7" borderId="2" xfId="0" applyNumberFormat="1" applyFill="1" applyBorder="1"/>
    <xf numFmtId="3" fontId="0" fillId="7" borderId="89" xfId="0" applyNumberFormat="1" applyFill="1" applyBorder="1"/>
    <xf numFmtId="173" fontId="0" fillId="7" borderId="0" xfId="0" applyNumberFormat="1" applyFill="1"/>
    <xf numFmtId="49" fontId="0" fillId="7" borderId="0" xfId="0" applyNumberFormat="1" applyFill="1" applyProtection="1">
      <protection locked="0"/>
    </xf>
    <xf numFmtId="0" fontId="0" fillId="0" borderId="0" xfId="0" applyProtection="1">
      <protection hidden="1"/>
    </xf>
    <xf numFmtId="0" fontId="21" fillId="0" borderId="0" xfId="0" applyFont="1" applyProtection="1">
      <protection hidden="1"/>
    </xf>
    <xf numFmtId="0" fontId="22" fillId="0" borderId="0" xfId="0" applyFont="1" applyAlignment="1" applyProtection="1">
      <alignment horizontal="left" vertical="top" wrapText="1"/>
      <protection hidden="1"/>
    </xf>
    <xf numFmtId="0" fontId="22" fillId="0" borderId="0" xfId="0" quotePrefix="1" applyFont="1" applyAlignment="1" applyProtection="1">
      <alignment horizontal="left" vertical="top" wrapText="1"/>
      <protection hidden="1"/>
    </xf>
    <xf numFmtId="0" fontId="22" fillId="0" borderId="0" xfId="0" applyFont="1" applyAlignment="1" applyProtection="1">
      <alignment vertical="top" wrapText="1"/>
      <protection hidden="1"/>
    </xf>
    <xf numFmtId="0" fontId="12" fillId="0" borderId="0" xfId="0" quotePrefix="1" applyFont="1" applyAlignment="1" applyProtection="1">
      <alignment horizontal="left" vertical="top" wrapText="1"/>
      <protection hidden="1"/>
    </xf>
    <xf numFmtId="0" fontId="12" fillId="0" borderId="0" xfId="0" applyFont="1" applyAlignment="1" applyProtection="1">
      <alignment horizontal="left" vertical="top" wrapText="1"/>
      <protection hidden="1"/>
    </xf>
    <xf numFmtId="0" fontId="0" fillId="0" borderId="0" xfId="0" applyAlignment="1" applyProtection="1">
      <alignment horizontal="center"/>
      <protection hidden="1"/>
    </xf>
    <xf numFmtId="171" fontId="0" fillId="14" borderId="0" xfId="0" applyNumberFormat="1" applyFill="1" applyProtection="1">
      <protection locked="0"/>
    </xf>
    <xf numFmtId="0" fontId="19" fillId="0" borderId="91" xfId="0" applyFont="1" applyBorder="1" applyAlignment="1">
      <alignment textRotation="90"/>
    </xf>
    <xf numFmtId="2" fontId="0" fillId="7" borderId="30" xfId="0" applyNumberFormat="1" applyFill="1" applyBorder="1"/>
    <xf numFmtId="1" fontId="0" fillId="0" borderId="30" xfId="0" applyNumberFormat="1" applyBorder="1"/>
    <xf numFmtId="2" fontId="0" fillId="7" borderId="92" xfId="0" applyNumberFormat="1" applyFill="1" applyBorder="1"/>
    <xf numFmtId="2" fontId="20" fillId="7" borderId="91" xfId="0" applyNumberFormat="1" applyFont="1" applyFill="1" applyBorder="1"/>
    <xf numFmtId="2" fontId="20" fillId="7" borderId="30" xfId="0" applyNumberFormat="1" applyFont="1" applyFill="1" applyBorder="1"/>
    <xf numFmtId="0" fontId="0" fillId="14" borderId="0" xfId="0" applyFill="1"/>
    <xf numFmtId="14" fontId="0" fillId="0" borderId="0" xfId="0" applyNumberFormat="1" applyAlignment="1">
      <alignment vertical="top"/>
    </xf>
    <xf numFmtId="0" fontId="0" fillId="0" borderId="0" xfId="0" applyAlignment="1">
      <alignment vertical="top" wrapText="1"/>
    </xf>
    <xf numFmtId="171" fontId="0" fillId="0" borderId="1" xfId="0" applyNumberFormat="1" applyBorder="1"/>
    <xf numFmtId="171" fontId="0" fillId="7" borderId="1" xfId="0" applyNumberFormat="1" applyFill="1" applyBorder="1" applyProtection="1">
      <protection locked="0"/>
    </xf>
    <xf numFmtId="0" fontId="0" fillId="7" borderId="1" xfId="0" applyFill="1" applyBorder="1" applyProtection="1">
      <protection locked="0"/>
    </xf>
    <xf numFmtId="0" fontId="20" fillId="0" borderId="1" xfId="0" applyFont="1" applyBorder="1"/>
    <xf numFmtId="171" fontId="0" fillId="14" borderId="1" xfId="0" applyNumberFormat="1" applyFill="1" applyBorder="1" applyProtection="1">
      <protection locked="0"/>
    </xf>
    <xf numFmtId="0" fontId="0" fillId="15" borderId="0" xfId="0" applyFill="1" applyProtection="1">
      <protection locked="0"/>
    </xf>
    <xf numFmtId="0" fontId="19" fillId="0" borderId="0" xfId="0" applyFont="1" applyAlignment="1">
      <alignment horizontal="center" textRotation="90"/>
    </xf>
    <xf numFmtId="171" fontId="0" fillId="7" borderId="1" xfId="0" applyNumberFormat="1" applyFill="1" applyBorder="1"/>
    <xf numFmtId="0" fontId="0" fillId="7" borderId="1" xfId="0" applyFill="1" applyBorder="1"/>
    <xf numFmtId="0" fontId="11" fillId="6" borderId="0" xfId="0" applyFont="1" applyFill="1"/>
    <xf numFmtId="0" fontId="33" fillId="0" borderId="0" xfId="0" applyFont="1"/>
    <xf numFmtId="0" fontId="0" fillId="0" borderId="83" xfId="0" applyBorder="1" applyAlignment="1">
      <alignment textRotation="90"/>
    </xf>
    <xf numFmtId="4" fontId="0" fillId="7" borderId="85" xfId="0" applyNumberFormat="1" applyFill="1" applyBorder="1"/>
    <xf numFmtId="0" fontId="0" fillId="7" borderId="1" xfId="0" applyFill="1" applyBorder="1" applyAlignment="1">
      <alignment vertical="top"/>
    </xf>
    <xf numFmtId="3" fontId="33" fillId="0" borderId="0" xfId="0" applyNumberFormat="1" applyFont="1"/>
    <xf numFmtId="0" fontId="12" fillId="0" borderId="0" xfId="0" applyFont="1" applyAlignment="1">
      <alignment wrapText="1"/>
    </xf>
    <xf numFmtId="0" fontId="12" fillId="6" borderId="43" xfId="0" applyFont="1" applyFill="1" applyBorder="1"/>
    <xf numFmtId="0" fontId="17" fillId="6" borderId="0" xfId="0" applyFont="1" applyFill="1"/>
    <xf numFmtId="0" fontId="17" fillId="6" borderId="24" xfId="0" applyFont="1" applyFill="1" applyBorder="1" applyAlignment="1">
      <alignment horizontal="right"/>
    </xf>
    <xf numFmtId="0" fontId="17" fillId="6" borderId="24" xfId="0" applyFont="1" applyFill="1" applyBorder="1" applyAlignment="1">
      <alignment horizontal="right" wrapText="1"/>
    </xf>
    <xf numFmtId="0" fontId="18" fillId="6" borderId="27" xfId="0" applyFont="1" applyFill="1" applyBorder="1"/>
    <xf numFmtId="0" fontId="17" fillId="0" borderId="72" xfId="0" applyFont="1" applyBorder="1"/>
    <xf numFmtId="0" fontId="17" fillId="6" borderId="23" xfId="0" applyFont="1" applyFill="1" applyBorder="1" applyAlignment="1">
      <alignment horizontal="right"/>
    </xf>
    <xf numFmtId="0" fontId="17" fillId="0" borderId="23" xfId="0" applyFont="1" applyBorder="1" applyAlignment="1">
      <alignment horizontal="right"/>
    </xf>
    <xf numFmtId="0" fontId="17" fillId="0" borderId="26" xfId="0" applyFont="1" applyBorder="1" applyAlignment="1">
      <alignment horizontal="right"/>
    </xf>
    <xf numFmtId="0" fontId="17" fillId="6" borderId="95" xfId="0" applyFont="1" applyFill="1" applyBorder="1" applyAlignment="1">
      <alignment horizontal="right"/>
    </xf>
    <xf numFmtId="0" fontId="17" fillId="6" borderId="96" xfId="0" applyFont="1" applyFill="1" applyBorder="1" applyAlignment="1">
      <alignment horizontal="right"/>
    </xf>
    <xf numFmtId="0" fontId="17" fillId="0" borderId="95" xfId="0" applyFont="1" applyBorder="1" applyAlignment="1">
      <alignment horizontal="right"/>
    </xf>
    <xf numFmtId="0" fontId="17" fillId="0" borderId="96" xfId="0" applyFont="1" applyBorder="1" applyAlignment="1">
      <alignment horizontal="right"/>
    </xf>
    <xf numFmtId="0" fontId="17" fillId="0" borderId="97" xfId="0" applyFont="1" applyBorder="1" applyAlignment="1">
      <alignment horizontal="right"/>
    </xf>
    <xf numFmtId="0" fontId="17" fillId="0" borderId="98" xfId="0" applyFont="1" applyBorder="1" applyAlignment="1">
      <alignment horizontal="right"/>
    </xf>
    <xf numFmtId="170" fontId="31" fillId="0" borderId="8" xfId="2" applyNumberFormat="1" applyFont="1" applyFill="1" applyBorder="1" applyAlignment="1" applyProtection="1">
      <alignment horizontal="right" vertical="center" wrapText="1"/>
    </xf>
    <xf numFmtId="170" fontId="31" fillId="0" borderId="21" xfId="2" applyNumberFormat="1" applyFont="1" applyFill="1" applyBorder="1" applyAlignment="1" applyProtection="1">
      <alignment horizontal="right" vertical="center" wrapText="1"/>
    </xf>
    <xf numFmtId="170" fontId="31" fillId="0" borderId="4" xfId="2" applyNumberFormat="1" applyFont="1" applyFill="1" applyBorder="1" applyAlignment="1" applyProtection="1">
      <alignment horizontal="right" vertical="center" wrapText="1"/>
    </xf>
    <xf numFmtId="170" fontId="31" fillId="0" borderId="3" xfId="2" applyNumberFormat="1" applyFont="1" applyFill="1" applyBorder="1" applyAlignment="1" applyProtection="1">
      <alignment horizontal="right" vertical="center" wrapText="1"/>
    </xf>
    <xf numFmtId="170" fontId="31" fillId="0" borderId="5" xfId="2" applyNumberFormat="1" applyFont="1" applyFill="1" applyBorder="1" applyAlignment="1" applyProtection="1">
      <alignment horizontal="right" vertical="center" wrapText="1"/>
    </xf>
    <xf numFmtId="0" fontId="31" fillId="0" borderId="14" xfId="2" applyFont="1" applyFill="1" applyBorder="1" applyAlignment="1" applyProtection="1">
      <alignment vertical="center"/>
    </xf>
    <xf numFmtId="164" fontId="31" fillId="0" borderId="64" xfId="2" applyNumberFormat="1" applyFont="1" applyFill="1" applyBorder="1" applyAlignment="1" applyProtection="1">
      <alignment horizontal="right" vertical="center"/>
    </xf>
    <xf numFmtId="3" fontId="31" fillId="0" borderId="21" xfId="2" applyNumberFormat="1" applyFont="1" applyFill="1" applyBorder="1" applyAlignment="1" applyProtection="1">
      <alignment horizontal="right" vertical="center"/>
    </xf>
    <xf numFmtId="3" fontId="31" fillId="0" borderId="21" xfId="0" applyNumberFormat="1" applyFont="1" applyBorder="1" applyAlignment="1">
      <alignment horizontal="right" vertical="center"/>
    </xf>
    <xf numFmtId="0" fontId="31" fillId="0" borderId="15" xfId="2" applyFont="1" applyFill="1" applyBorder="1" applyAlignment="1" applyProtection="1">
      <alignment vertical="center"/>
    </xf>
    <xf numFmtId="164" fontId="31" fillId="0" borderId="65" xfId="2" applyNumberFormat="1" applyFont="1" applyFill="1" applyBorder="1" applyAlignment="1" applyProtection="1">
      <alignment horizontal="right" vertical="center"/>
    </xf>
    <xf numFmtId="3" fontId="31" fillId="0" borderId="4" xfId="2" applyNumberFormat="1" applyFont="1" applyFill="1" applyBorder="1" applyAlignment="1" applyProtection="1">
      <alignment horizontal="right" vertical="center"/>
    </xf>
    <xf numFmtId="3" fontId="31" fillId="0" borderId="4" xfId="0" applyNumberFormat="1" applyFont="1" applyBorder="1" applyAlignment="1">
      <alignment horizontal="right" vertical="center"/>
    </xf>
    <xf numFmtId="170" fontId="31" fillId="0" borderId="10" xfId="2" applyNumberFormat="1" applyFont="1" applyFill="1" applyBorder="1" applyAlignment="1" applyProtection="1">
      <alignment horizontal="right" vertical="center" wrapText="1"/>
    </xf>
    <xf numFmtId="3" fontId="31" fillId="0" borderId="21" xfId="2" applyNumberFormat="1" applyFont="1" applyFill="1" applyBorder="1" applyAlignment="1" applyProtection="1">
      <alignment horizontal="right" vertical="center" wrapText="1"/>
    </xf>
    <xf numFmtId="3" fontId="31" fillId="0" borderId="4" xfId="2" applyNumberFormat="1" applyFont="1" applyFill="1" applyBorder="1" applyAlignment="1" applyProtection="1">
      <alignment horizontal="right" vertical="center" wrapText="1"/>
    </xf>
    <xf numFmtId="4" fontId="31" fillId="0" borderId="21" xfId="4" applyNumberFormat="1" applyFont="1" applyFill="1" applyBorder="1" applyAlignment="1" applyProtection="1">
      <alignment vertical="center"/>
    </xf>
    <xf numFmtId="4" fontId="31" fillId="0" borderId="4" xfId="4" applyNumberFormat="1" applyFont="1" applyFill="1" applyBorder="1" applyAlignment="1" applyProtection="1">
      <alignment vertical="center"/>
    </xf>
    <xf numFmtId="4" fontId="31" fillId="0" borderId="4" xfId="2" applyNumberFormat="1" applyFont="1" applyFill="1" applyBorder="1" applyAlignment="1" applyProtection="1">
      <alignment vertical="center"/>
    </xf>
    <xf numFmtId="0" fontId="0" fillId="9" borderId="0" xfId="0" applyFill="1" applyAlignment="1">
      <alignment horizontal="right"/>
    </xf>
    <xf numFmtId="0" fontId="11" fillId="9" borderId="0" xfId="0" applyFont="1" applyFill="1" applyAlignment="1">
      <alignment horizontal="right"/>
    </xf>
    <xf numFmtId="0" fontId="26" fillId="9" borderId="0" xfId="6" applyFont="1" applyFill="1" applyBorder="1" applyAlignment="1" applyProtection="1">
      <alignment horizontal="right"/>
    </xf>
    <xf numFmtId="170" fontId="11" fillId="9" borderId="0" xfId="0" applyNumberFormat="1" applyFont="1" applyFill="1" applyAlignment="1">
      <alignment horizontal="right"/>
    </xf>
    <xf numFmtId="0" fontId="12" fillId="9" borderId="0" xfId="0" applyFont="1" applyFill="1" applyAlignment="1">
      <alignment horizontal="right"/>
    </xf>
    <xf numFmtId="0" fontId="14" fillId="9" borderId="0" xfId="0" applyFont="1" applyFill="1" applyAlignment="1">
      <alignment horizontal="right"/>
    </xf>
    <xf numFmtId="0" fontId="13" fillId="9" borderId="0" xfId="0" applyFont="1" applyFill="1" applyAlignment="1">
      <alignment horizontal="right"/>
    </xf>
    <xf numFmtId="0" fontId="12" fillId="9" borderId="0" xfId="0" applyFont="1" applyFill="1" applyAlignment="1" applyProtection="1">
      <alignment horizontal="right"/>
      <protection locked="0"/>
    </xf>
    <xf numFmtId="0" fontId="31" fillId="0" borderId="21" xfId="2" applyNumberFormat="1" applyFont="1" applyFill="1" applyBorder="1" applyAlignment="1" applyProtection="1">
      <alignment horizontal="right" vertical="center"/>
    </xf>
    <xf numFmtId="0" fontId="31" fillId="0" borderId="4" xfId="2" applyNumberFormat="1" applyFont="1" applyFill="1" applyBorder="1" applyAlignment="1" applyProtection="1">
      <alignment horizontal="right" vertical="center"/>
    </xf>
    <xf numFmtId="0" fontId="17" fillId="9" borderId="0" xfId="0" applyFont="1" applyFill="1"/>
    <xf numFmtId="0" fontId="12" fillId="6" borderId="27" xfId="0" applyFont="1" applyFill="1" applyBorder="1"/>
    <xf numFmtId="0" fontId="12" fillId="6" borderId="74" xfId="0" applyFont="1" applyFill="1" applyBorder="1" applyAlignment="1">
      <alignment horizontal="center"/>
    </xf>
    <xf numFmtId="0" fontId="12" fillId="6" borderId="81" xfId="0" applyFont="1" applyFill="1" applyBorder="1" applyAlignment="1">
      <alignment horizontal="center"/>
    </xf>
    <xf numFmtId="0" fontId="12" fillId="6" borderId="23" xfId="0" applyFont="1" applyFill="1" applyBorder="1" applyAlignment="1">
      <alignment horizontal="center"/>
    </xf>
    <xf numFmtId="0" fontId="12" fillId="6" borderId="27" xfId="0" applyFont="1" applyFill="1" applyBorder="1" applyAlignment="1">
      <alignment horizontal="center"/>
    </xf>
    <xf numFmtId="0" fontId="12" fillId="6" borderId="0" xfId="0" applyFont="1" applyFill="1" applyAlignment="1">
      <alignment vertical="top"/>
    </xf>
    <xf numFmtId="0" fontId="12" fillId="6" borderId="27" xfId="0" applyFont="1" applyFill="1" applyBorder="1" applyAlignment="1">
      <alignment vertical="top"/>
    </xf>
    <xf numFmtId="0" fontId="12" fillId="6" borderId="74" xfId="0" applyFont="1" applyFill="1" applyBorder="1" applyAlignment="1">
      <alignment horizontal="center" vertical="top"/>
    </xf>
    <xf numFmtId="0" fontId="12" fillId="6" borderId="81" xfId="0" applyFont="1" applyFill="1" applyBorder="1" applyAlignment="1">
      <alignment horizontal="center" vertical="top"/>
    </xf>
    <xf numFmtId="0" fontId="12" fillId="6" borderId="23" xfId="0" applyFont="1" applyFill="1" applyBorder="1" applyAlignment="1">
      <alignment horizontal="center" vertical="top"/>
    </xf>
    <xf numFmtId="0" fontId="12" fillId="6" borderId="27" xfId="0" applyFont="1" applyFill="1" applyBorder="1" applyAlignment="1">
      <alignment horizontal="center" vertical="top"/>
    </xf>
    <xf numFmtId="0" fontId="4" fillId="8" borderId="0" xfId="0" applyFont="1" applyFill="1"/>
    <xf numFmtId="0" fontId="4" fillId="8" borderId="0" xfId="0" applyFont="1" applyFill="1" applyAlignment="1">
      <alignment horizontal="center"/>
    </xf>
    <xf numFmtId="0" fontId="4" fillId="0" borderId="0" xfId="0" applyFont="1"/>
    <xf numFmtId="0" fontId="17" fillId="6" borderId="27" xfId="0" applyFont="1" applyFill="1" applyBorder="1" applyAlignment="1">
      <alignment horizontal="right"/>
    </xf>
    <xf numFmtId="0" fontId="0" fillId="0" borderId="0" xfId="0" quotePrefix="1"/>
    <xf numFmtId="0" fontId="32" fillId="0" borderId="0" xfId="0" applyFont="1"/>
    <xf numFmtId="0" fontId="19" fillId="16" borderId="1" xfId="0" applyFont="1" applyFill="1" applyBorder="1"/>
    <xf numFmtId="0" fontId="12" fillId="6" borderId="56" xfId="0" applyFont="1" applyFill="1" applyBorder="1"/>
    <xf numFmtId="0" fontId="31" fillId="0" borderId="24" xfId="0" applyFont="1" applyBorder="1" applyAlignment="1">
      <alignment horizontal="right"/>
    </xf>
    <xf numFmtId="0" fontId="31" fillId="0" borderId="27" xfId="0" applyFont="1" applyBorder="1"/>
    <xf numFmtId="0" fontId="12" fillId="6" borderId="80" xfId="0" applyFont="1" applyFill="1" applyBorder="1"/>
    <xf numFmtId="0" fontId="12" fillId="6" borderId="63" xfId="0" applyFont="1" applyFill="1" applyBorder="1"/>
    <xf numFmtId="0" fontId="36" fillId="0" borderId="0" xfId="0" applyFont="1" applyAlignment="1">
      <alignment horizontal="right" vertical="center" wrapText="1"/>
    </xf>
    <xf numFmtId="0" fontId="35" fillId="0" borderId="0" xfId="0" applyFont="1" applyAlignment="1">
      <alignment horizontal="right" vertical="center" wrapText="1"/>
    </xf>
    <xf numFmtId="0" fontId="12" fillId="9" borderId="0" xfId="0" quotePrefix="1" applyFont="1" applyFill="1"/>
    <xf numFmtId="0" fontId="12" fillId="9" borderId="0" xfId="0" applyFont="1" applyFill="1" applyAlignment="1">
      <alignment horizontal="right" wrapText="1"/>
    </xf>
    <xf numFmtId="3" fontId="13" fillId="9" borderId="0" xfId="4" applyNumberFormat="1" applyFont="1" applyFill="1" applyBorder="1" applyAlignment="1" applyProtection="1">
      <alignment wrapText="1"/>
    </xf>
    <xf numFmtId="0" fontId="11" fillId="6" borderId="37" xfId="0" applyFont="1" applyFill="1" applyBorder="1"/>
    <xf numFmtId="0" fontId="11" fillId="6" borderId="39" xfId="0" applyFont="1" applyFill="1" applyBorder="1"/>
    <xf numFmtId="3" fontId="12" fillId="6" borderId="40" xfId="0" applyNumberFormat="1" applyFont="1" applyFill="1" applyBorder="1"/>
    <xf numFmtId="0" fontId="12" fillId="6" borderId="40" xfId="0" applyFont="1" applyFill="1" applyBorder="1"/>
    <xf numFmtId="0" fontId="12" fillId="6" borderId="44" xfId="0" applyFont="1" applyFill="1" applyBorder="1"/>
    <xf numFmtId="0" fontId="12" fillId="6" borderId="71" xfId="0" applyFont="1" applyFill="1" applyBorder="1"/>
    <xf numFmtId="0" fontId="32" fillId="6" borderId="45" xfId="0" applyFont="1" applyFill="1" applyBorder="1"/>
    <xf numFmtId="3" fontId="12" fillId="6" borderId="43" xfId="0" applyNumberFormat="1" applyFont="1" applyFill="1" applyBorder="1"/>
    <xf numFmtId="0" fontId="12" fillId="6" borderId="46" xfId="0" applyFont="1" applyFill="1" applyBorder="1"/>
    <xf numFmtId="0" fontId="12" fillId="6" borderId="47" xfId="0" applyFont="1" applyFill="1" applyBorder="1"/>
    <xf numFmtId="0" fontId="32" fillId="6" borderId="0" xfId="0" applyFont="1" applyFill="1"/>
    <xf numFmtId="0" fontId="12" fillId="6" borderId="67" xfId="0" applyFont="1" applyFill="1" applyBorder="1"/>
    <xf numFmtId="0" fontId="12" fillId="6" borderId="61" xfId="0" applyFont="1" applyFill="1" applyBorder="1"/>
    <xf numFmtId="0" fontId="20" fillId="0" borderId="0" xfId="0" applyFont="1" applyAlignment="1">
      <alignment vertical="top" wrapText="1"/>
    </xf>
    <xf numFmtId="171" fontId="19" fillId="15" borderId="1" xfId="0" applyNumberFormat="1" applyFont="1" applyFill="1" applyBorder="1" applyProtection="1">
      <protection locked="0"/>
    </xf>
    <xf numFmtId="0" fontId="19" fillId="15" borderId="1" xfId="0" applyFont="1" applyFill="1" applyBorder="1" applyProtection="1">
      <protection locked="0"/>
    </xf>
    <xf numFmtId="4" fontId="0" fillId="0" borderId="0" xfId="0" applyNumberFormat="1"/>
    <xf numFmtId="171" fontId="0" fillId="15" borderId="1" xfId="0" applyNumberFormat="1" applyFill="1" applyBorder="1" applyProtection="1">
      <protection locked="0"/>
    </xf>
    <xf numFmtId="0" fontId="0" fillId="15" borderId="1" xfId="0" applyFill="1" applyBorder="1" applyProtection="1">
      <protection locked="0"/>
    </xf>
    <xf numFmtId="3" fontId="4" fillId="0" borderId="0" xfId="0" applyNumberFormat="1" applyFont="1"/>
    <xf numFmtId="0" fontId="3" fillId="0" borderId="0" xfId="0" applyFont="1"/>
    <xf numFmtId="0" fontId="3" fillId="0" borderId="0" xfId="0" applyFont="1" applyAlignment="1">
      <alignment vertical="center"/>
    </xf>
    <xf numFmtId="0" fontId="37" fillId="0" borderId="0" xfId="0" applyFont="1" applyAlignment="1">
      <alignment vertical="center"/>
    </xf>
    <xf numFmtId="0" fontId="41" fillId="0" borderId="0" xfId="0" applyFont="1"/>
    <xf numFmtId="0" fontId="39" fillId="0" borderId="0" xfId="8" applyAlignment="1">
      <alignment vertical="center"/>
    </xf>
    <xf numFmtId="0" fontId="40" fillId="0" borderId="0" xfId="9" applyAlignment="1">
      <alignment vertical="center"/>
    </xf>
    <xf numFmtId="0" fontId="40" fillId="0" borderId="0" xfId="9"/>
    <xf numFmtId="0" fontId="0" fillId="0" borderId="109" xfId="0" applyBorder="1"/>
    <xf numFmtId="0" fontId="0" fillId="0" borderId="109" xfId="0" applyBorder="1" applyAlignment="1">
      <alignment vertical="top"/>
    </xf>
    <xf numFmtId="0" fontId="11" fillId="0" borderId="109" xfId="0" applyFont="1" applyBorder="1"/>
    <xf numFmtId="0" fontId="12" fillId="0" borderId="109" xfId="0" applyFont="1" applyBorder="1"/>
    <xf numFmtId="0" fontId="12" fillId="6" borderId="109" xfId="0" applyFont="1" applyFill="1" applyBorder="1"/>
    <xf numFmtId="0" fontId="0" fillId="6" borderId="109" xfId="0" applyFill="1" applyBorder="1"/>
    <xf numFmtId="0" fontId="33" fillId="0" borderId="109" xfId="0" applyFont="1" applyBorder="1"/>
    <xf numFmtId="0" fontId="11" fillId="6" borderId="109" xfId="0" applyFont="1" applyFill="1" applyBorder="1"/>
    <xf numFmtId="0" fontId="12" fillId="0" borderId="109" xfId="0" applyFont="1" applyBorder="1" applyAlignment="1">
      <alignment vertical="center"/>
    </xf>
    <xf numFmtId="0" fontId="17" fillId="0" borderId="109" xfId="0" applyFont="1" applyBorder="1"/>
    <xf numFmtId="0" fontId="12" fillId="0" borderId="109" xfId="0" applyFont="1" applyBorder="1" applyAlignment="1">
      <alignment wrapText="1"/>
    </xf>
    <xf numFmtId="0" fontId="0" fillId="0" borderId="109" xfId="0" applyBorder="1" applyProtection="1">
      <protection hidden="1"/>
    </xf>
    <xf numFmtId="0" fontId="12" fillId="0" borderId="109" xfId="0" applyFont="1" applyBorder="1" applyProtection="1">
      <protection hidden="1"/>
    </xf>
    <xf numFmtId="0" fontId="3" fillId="0" borderId="109" xfId="0" applyFont="1" applyBorder="1"/>
    <xf numFmtId="0" fontId="0" fillId="0" borderId="110" xfId="0" applyBorder="1"/>
    <xf numFmtId="0" fontId="3" fillId="0" borderId="0" xfId="0" applyFont="1" applyAlignment="1">
      <alignment horizontal="right" indent="1"/>
    </xf>
    <xf numFmtId="0" fontId="42" fillId="0" borderId="0" xfId="7" applyAlignment="1">
      <alignment horizontal="right" indent="1"/>
    </xf>
    <xf numFmtId="0" fontId="42" fillId="0" borderId="0" xfId="7" quotePrefix="1" applyAlignment="1">
      <alignment horizontal="right" indent="1"/>
    </xf>
    <xf numFmtId="0" fontId="3" fillId="0" borderId="109" xfId="0" applyFont="1" applyBorder="1" applyAlignment="1">
      <alignment vertical="top"/>
    </xf>
    <xf numFmtId="0" fontId="3" fillId="0" borderId="0" xfId="0" applyFont="1" applyAlignment="1">
      <alignment vertical="top"/>
    </xf>
    <xf numFmtId="0" fontId="3" fillId="0" borderId="0" xfId="0" applyFont="1" applyAlignment="1">
      <alignment vertical="top" wrapText="1"/>
    </xf>
    <xf numFmtId="0" fontId="3" fillId="0" borderId="0" xfId="0" applyFont="1" applyAlignment="1">
      <alignment horizontal="left" vertical="top" wrapText="1"/>
    </xf>
    <xf numFmtId="49" fontId="3" fillId="0" borderId="0" xfId="0" applyNumberFormat="1" applyFont="1" applyAlignment="1">
      <alignment vertical="top"/>
    </xf>
    <xf numFmtId="0" fontId="40" fillId="0" borderId="0" xfId="9" applyProtection="1">
      <protection hidden="1"/>
    </xf>
    <xf numFmtId="0" fontId="22" fillId="0" borderId="0" xfId="0" quotePrefix="1" applyFont="1" applyAlignment="1" applyProtection="1">
      <alignment vertical="top" wrapText="1"/>
      <protection hidden="1"/>
    </xf>
    <xf numFmtId="0" fontId="0" fillId="11" borderId="0" xfId="0" applyFill="1" applyAlignment="1">
      <alignment horizontal="center" vertical="center"/>
    </xf>
    <xf numFmtId="49" fontId="0" fillId="0" borderId="0" xfId="0" applyNumberFormat="1" applyAlignment="1">
      <alignment vertical="top"/>
    </xf>
    <xf numFmtId="0" fontId="0" fillId="0" borderId="0" xfId="0" applyAlignment="1" applyProtection="1">
      <alignment vertical="top"/>
      <protection hidden="1"/>
    </xf>
    <xf numFmtId="0" fontId="39" fillId="0" borderId="0" xfId="8" applyBorder="1" applyProtection="1">
      <protection hidden="1"/>
    </xf>
    <xf numFmtId="0" fontId="39" fillId="0" borderId="0" xfId="8" applyBorder="1"/>
    <xf numFmtId="0" fontId="0" fillId="0" borderId="0" xfId="0" quotePrefix="1" applyAlignment="1">
      <alignment vertical="top" wrapText="1"/>
    </xf>
    <xf numFmtId="0" fontId="40" fillId="0" borderId="0" xfId="9" quotePrefix="1" applyAlignment="1" applyProtection="1">
      <alignment horizontal="left" vertical="top" wrapText="1"/>
      <protection hidden="1"/>
    </xf>
    <xf numFmtId="0" fontId="40" fillId="0" borderId="0" xfId="9" applyAlignment="1" applyProtection="1">
      <alignment horizontal="left" vertical="top" wrapText="1"/>
      <protection hidden="1"/>
    </xf>
    <xf numFmtId="0" fontId="40" fillId="0" borderId="109" xfId="9" applyBorder="1" applyProtection="1">
      <protection hidden="1"/>
    </xf>
    <xf numFmtId="0" fontId="39" fillId="0" borderId="109" xfId="8" applyBorder="1" applyProtection="1">
      <protection hidden="1"/>
    </xf>
    <xf numFmtId="0" fontId="0" fillId="0" borderId="0" xfId="0" applyAlignment="1">
      <alignment vertical="center"/>
    </xf>
    <xf numFmtId="0" fontId="26" fillId="0" borderId="113" xfId="6" applyFont="1" applyFill="1" applyBorder="1" applyAlignment="1" applyProtection="1"/>
    <xf numFmtId="14" fontId="22" fillId="0" borderId="114" xfId="0" applyNumberFormat="1" applyFont="1" applyBorder="1"/>
    <xf numFmtId="0" fontId="0" fillId="0" borderId="2" xfId="0" applyBorder="1"/>
    <xf numFmtId="0" fontId="0" fillId="0" borderId="80" xfId="0" applyBorder="1"/>
    <xf numFmtId="0" fontId="0" fillId="0" borderId="18" xfId="0" applyBorder="1"/>
    <xf numFmtId="0" fontId="0" fillId="0" borderId="19" xfId="0" applyBorder="1"/>
    <xf numFmtId="0" fontId="0" fillId="0" borderId="75" xfId="0" applyBorder="1"/>
    <xf numFmtId="0" fontId="0" fillId="0" borderId="76" xfId="0" applyBorder="1"/>
    <xf numFmtId="0" fontId="22" fillId="11" borderId="116" xfId="0" applyFont="1" applyFill="1" applyBorder="1" applyProtection="1">
      <protection locked="0"/>
    </xf>
    <xf numFmtId="0" fontId="22" fillId="11" borderId="119" xfId="0" applyFont="1" applyFill="1" applyBorder="1" applyProtection="1">
      <protection locked="0"/>
    </xf>
    <xf numFmtId="0" fontId="0" fillId="0" borderId="12" xfId="0" applyBorder="1"/>
    <xf numFmtId="0" fontId="0" fillId="0" borderId="20" xfId="0" applyBorder="1"/>
    <xf numFmtId="0" fontId="0" fillId="0" borderId="112" xfId="0" applyBorder="1" applyAlignment="1">
      <alignment vertical="center"/>
    </xf>
    <xf numFmtId="0" fontId="0" fillId="17" borderId="113" xfId="0" applyFill="1" applyBorder="1" applyAlignment="1">
      <alignment horizontal="left" vertical="center" indent="1"/>
    </xf>
    <xf numFmtId="0" fontId="0" fillId="6" borderId="30" xfId="0" applyFill="1" applyBorder="1" applyAlignment="1">
      <alignment vertical="top"/>
    </xf>
    <xf numFmtId="0" fontId="0" fillId="6" borderId="0" xfId="0" applyFill="1" applyAlignment="1">
      <alignment horizontal="right" vertical="top"/>
    </xf>
    <xf numFmtId="0" fontId="0" fillId="6" borderId="54" xfId="0" applyFill="1" applyBorder="1" applyAlignment="1">
      <alignment horizontal="center" vertical="top"/>
    </xf>
    <xf numFmtId="0" fontId="0" fillId="6" borderId="67" xfId="0" applyFill="1" applyBorder="1" applyAlignment="1">
      <alignment vertical="top"/>
    </xf>
    <xf numFmtId="0" fontId="0" fillId="6" borderId="54" xfId="0" applyFill="1" applyBorder="1" applyAlignment="1">
      <alignment vertical="top"/>
    </xf>
    <xf numFmtId="0" fontId="0" fillId="6" borderId="68" xfId="0" applyFill="1" applyBorder="1" applyAlignment="1">
      <alignment vertical="top"/>
    </xf>
    <xf numFmtId="0" fontId="0" fillId="6" borderId="106" xfId="0" applyFill="1" applyBorder="1" applyAlignment="1">
      <alignment vertical="top" wrapText="1"/>
    </xf>
    <xf numFmtId="0" fontId="0" fillId="6" borderId="67" xfId="0" applyFill="1" applyBorder="1" applyAlignment="1">
      <alignment vertical="top" wrapText="1"/>
    </xf>
    <xf numFmtId="0" fontId="0" fillId="6" borderId="54" xfId="0" applyFill="1" applyBorder="1" applyAlignment="1">
      <alignment vertical="top" wrapText="1"/>
    </xf>
    <xf numFmtId="0" fontId="0" fillId="6" borderId="107" xfId="0" applyFill="1" applyBorder="1" applyAlignment="1">
      <alignment vertical="top" wrapText="1"/>
    </xf>
    <xf numFmtId="0" fontId="0" fillId="6" borderId="30" xfId="0" applyFill="1" applyBorder="1" applyAlignment="1">
      <alignment horizontal="left"/>
    </xf>
    <xf numFmtId="0" fontId="0" fillId="6" borderId="23" xfId="0" applyFill="1" applyBorder="1" applyAlignment="1">
      <alignment horizontal="right"/>
    </xf>
    <xf numFmtId="0" fontId="0" fillId="6" borderId="24" xfId="0" applyFill="1" applyBorder="1" applyAlignment="1">
      <alignment horizontal="right"/>
    </xf>
    <xf numFmtId="0" fontId="0" fillId="6" borderId="27" xfId="0" applyFill="1" applyBorder="1" applyAlignment="1">
      <alignment horizontal="right"/>
    </xf>
    <xf numFmtId="0" fontId="0" fillId="6" borderId="50" xfId="0" applyFill="1" applyBorder="1" applyAlignment="1">
      <alignment horizontal="right"/>
    </xf>
    <xf numFmtId="0" fontId="0" fillId="6" borderId="51" xfId="0" applyFill="1" applyBorder="1" applyAlignment="1">
      <alignment horizontal="right"/>
    </xf>
    <xf numFmtId="0" fontId="0" fillId="6" borderId="50" xfId="0" applyFill="1" applyBorder="1" applyAlignment="1">
      <alignment horizontal="right" vertical="top" wrapText="1"/>
    </xf>
    <xf numFmtId="0" fontId="0" fillId="6" borderId="24" xfId="0" applyFill="1" applyBorder="1" applyAlignment="1">
      <alignment horizontal="right" vertical="top" wrapText="1"/>
    </xf>
    <xf numFmtId="0" fontId="0" fillId="6" borderId="27" xfId="0" applyFill="1" applyBorder="1" applyAlignment="1">
      <alignment horizontal="right" vertical="top" wrapText="1"/>
    </xf>
    <xf numFmtId="0" fontId="0" fillId="6" borderId="51" xfId="0" applyFill="1" applyBorder="1" applyAlignment="1">
      <alignment horizontal="right" vertical="top" wrapText="1"/>
    </xf>
    <xf numFmtId="0" fontId="0" fillId="9" borderId="30" xfId="0" applyFill="1" applyBorder="1" applyAlignment="1">
      <alignment horizontal="left"/>
    </xf>
    <xf numFmtId="0" fontId="0" fillId="9" borderId="23" xfId="0" applyFill="1" applyBorder="1" applyAlignment="1">
      <alignment horizontal="right"/>
    </xf>
    <xf numFmtId="0" fontId="0" fillId="9" borderId="24" xfId="0" applyFill="1" applyBorder="1"/>
    <xf numFmtId="0" fontId="0" fillId="9" borderId="27" xfId="0" applyFill="1" applyBorder="1"/>
    <xf numFmtId="0" fontId="0" fillId="9" borderId="50" xfId="0" applyFill="1" applyBorder="1"/>
    <xf numFmtId="0" fontId="0" fillId="9" borderId="24" xfId="0" applyFill="1" applyBorder="1" applyAlignment="1">
      <alignment horizontal="right"/>
    </xf>
    <xf numFmtId="0" fontId="0" fillId="9" borderId="51" xfId="0" applyFill="1" applyBorder="1"/>
    <xf numFmtId="0" fontId="0" fillId="9" borderId="50" xfId="0" applyFill="1" applyBorder="1" applyAlignment="1">
      <alignment vertical="top" wrapText="1"/>
    </xf>
    <xf numFmtId="0" fontId="0" fillId="9" borderId="24" xfId="0" applyFill="1" applyBorder="1" applyAlignment="1">
      <alignment vertical="top" wrapText="1"/>
    </xf>
    <xf numFmtId="0" fontId="0" fillId="9" borderId="27" xfId="0" applyFill="1" applyBorder="1" applyAlignment="1">
      <alignment vertical="top" wrapText="1"/>
    </xf>
    <xf numFmtId="0" fontId="0" fillId="9" borderId="51" xfId="0" applyFill="1" applyBorder="1" applyAlignment="1">
      <alignment vertical="top" wrapText="1"/>
    </xf>
    <xf numFmtId="0" fontId="0" fillId="9" borderId="102" xfId="0" applyFill="1" applyBorder="1" applyAlignment="1">
      <alignment horizontal="left"/>
    </xf>
    <xf numFmtId="0" fontId="0" fillId="9" borderId="26" xfId="0" applyFill="1" applyBorder="1" applyAlignment="1">
      <alignment horizontal="right"/>
    </xf>
    <xf numFmtId="0" fontId="0" fillId="9" borderId="25" xfId="0" applyFill="1" applyBorder="1" applyAlignment="1">
      <alignment horizontal="right"/>
    </xf>
    <xf numFmtId="0" fontId="0" fillId="9" borderId="72" xfId="0" applyFill="1" applyBorder="1" applyAlignment="1">
      <alignment horizontal="right"/>
    </xf>
    <xf numFmtId="0" fontId="0" fillId="9" borderId="52" xfId="0" applyFill="1" applyBorder="1" applyAlignment="1">
      <alignment horizontal="right"/>
    </xf>
    <xf numFmtId="0" fontId="0" fillId="9" borderId="53" xfId="0" applyFill="1" applyBorder="1" applyAlignment="1">
      <alignment horizontal="right"/>
    </xf>
    <xf numFmtId="0" fontId="0" fillId="9" borderId="52" xfId="0" applyFill="1" applyBorder="1" applyAlignment="1">
      <alignment vertical="top" wrapText="1"/>
    </xf>
    <xf numFmtId="0" fontId="0" fillId="9" borderId="25" xfId="0" applyFill="1" applyBorder="1" applyAlignment="1">
      <alignment vertical="top" wrapText="1"/>
    </xf>
    <xf numFmtId="0" fontId="0" fillId="9" borderId="72" xfId="0" applyFill="1" applyBorder="1" applyAlignment="1">
      <alignment vertical="top" wrapText="1"/>
    </xf>
    <xf numFmtId="0" fontId="0" fillId="9" borderId="53" xfId="0" applyFill="1" applyBorder="1" applyAlignment="1">
      <alignment vertical="top" wrapText="1"/>
    </xf>
    <xf numFmtId="0" fontId="31" fillId="9" borderId="103" xfId="0" applyFont="1" applyFill="1" applyBorder="1" applyAlignment="1">
      <alignment horizontal="left"/>
    </xf>
    <xf numFmtId="0" fontId="31" fillId="9" borderId="8" xfId="0" applyFont="1" applyFill="1" applyBorder="1" applyAlignment="1">
      <alignment horizontal="right"/>
    </xf>
    <xf numFmtId="3" fontId="31" fillId="9" borderId="21" xfId="2" applyNumberFormat="1" applyFont="1" applyFill="1" applyBorder="1" applyAlignment="1" applyProtection="1">
      <alignment horizontal="right"/>
    </xf>
    <xf numFmtId="3" fontId="31" fillId="9" borderId="14" xfId="2" applyNumberFormat="1" applyFont="1" applyFill="1" applyBorder="1" applyAlignment="1" applyProtection="1">
      <alignment horizontal="right"/>
    </xf>
    <xf numFmtId="3" fontId="31" fillId="9" borderId="48" xfId="2" applyNumberFormat="1" applyFont="1" applyFill="1" applyBorder="1" applyAlignment="1" applyProtection="1">
      <alignment horizontal="right"/>
    </xf>
    <xf numFmtId="3" fontId="31" fillId="9" borderId="49" xfId="2" applyNumberFormat="1" applyFont="1" applyFill="1" applyBorder="1" applyAlignment="1" applyProtection="1">
      <alignment horizontal="right"/>
    </xf>
    <xf numFmtId="3" fontId="31" fillId="9" borderId="60" xfId="2" applyNumberFormat="1" applyFont="1" applyFill="1" applyBorder="1" applyAlignment="1" applyProtection="1">
      <alignment horizontal="right"/>
    </xf>
    <xf numFmtId="0" fontId="31" fillId="9" borderId="104" xfId="0" applyFont="1" applyFill="1" applyBorder="1" applyAlignment="1">
      <alignment horizontal="left"/>
    </xf>
    <xf numFmtId="0" fontId="31" fillId="9" borderId="10" xfId="0" applyFont="1" applyFill="1" applyBorder="1" applyAlignment="1">
      <alignment horizontal="right"/>
    </xf>
    <xf numFmtId="3" fontId="31" fillId="9" borderId="4" xfId="2" applyNumberFormat="1" applyFont="1" applyFill="1" applyBorder="1" applyAlignment="1" applyProtection="1">
      <alignment horizontal="right"/>
    </xf>
    <xf numFmtId="3" fontId="31" fillId="9" borderId="15" xfId="2" applyNumberFormat="1" applyFont="1" applyFill="1" applyBorder="1" applyAlignment="1" applyProtection="1">
      <alignment horizontal="right"/>
    </xf>
    <xf numFmtId="3" fontId="31" fillId="9" borderId="41" xfId="2" applyNumberFormat="1" applyFont="1" applyFill="1" applyBorder="1" applyAlignment="1" applyProtection="1">
      <alignment horizontal="right"/>
    </xf>
    <xf numFmtId="3" fontId="31" fillId="9" borderId="42" xfId="2" applyNumberFormat="1" applyFont="1" applyFill="1" applyBorder="1" applyAlignment="1" applyProtection="1">
      <alignment horizontal="right"/>
    </xf>
    <xf numFmtId="3" fontId="31" fillId="9" borderId="58" xfId="2" applyNumberFormat="1" applyFont="1" applyFill="1" applyBorder="1" applyAlignment="1" applyProtection="1">
      <alignment horizontal="right"/>
    </xf>
    <xf numFmtId="0" fontId="0" fillId="9" borderId="105" xfId="0" applyFill="1" applyBorder="1"/>
    <xf numFmtId="0" fontId="0" fillId="9" borderId="69" xfId="0" applyFill="1" applyBorder="1" applyAlignment="1">
      <alignment horizontal="right"/>
    </xf>
    <xf numFmtId="3" fontId="0" fillId="9" borderId="69" xfId="0" applyNumberFormat="1" applyFill="1" applyBorder="1" applyAlignment="1">
      <alignment horizontal="right"/>
    </xf>
    <xf numFmtId="3" fontId="0" fillId="9" borderId="100" xfId="0" applyNumberFormat="1" applyFill="1" applyBorder="1" applyAlignment="1">
      <alignment horizontal="right"/>
    </xf>
    <xf numFmtId="3" fontId="0" fillId="9" borderId="55" xfId="0" applyNumberFormat="1" applyFill="1" applyBorder="1" applyAlignment="1">
      <alignment horizontal="right"/>
    </xf>
    <xf numFmtId="3" fontId="0" fillId="9" borderId="78" xfId="0" applyNumberFormat="1" applyFill="1" applyBorder="1" applyAlignment="1">
      <alignment horizontal="right"/>
    </xf>
    <xf numFmtId="3" fontId="0" fillId="9" borderId="70" xfId="0" applyNumberFormat="1" applyFill="1" applyBorder="1" applyAlignment="1">
      <alignment horizontal="right"/>
    </xf>
    <xf numFmtId="3" fontId="0" fillId="9" borderId="66" xfId="0" applyNumberFormat="1" applyFill="1" applyBorder="1" applyAlignment="1">
      <alignment horizontal="right"/>
    </xf>
    <xf numFmtId="0" fontId="54" fillId="6" borderId="99" xfId="0" applyFont="1" applyFill="1" applyBorder="1"/>
    <xf numFmtId="3" fontId="31" fillId="0" borderId="0" xfId="4" applyNumberFormat="1" applyFont="1" applyFill="1" applyBorder="1" applyAlignment="1" applyProtection="1">
      <alignment horizontal="right"/>
    </xf>
    <xf numFmtId="0" fontId="0" fillId="0" borderId="93" xfId="0" applyBorder="1"/>
    <xf numFmtId="0" fontId="0" fillId="0" borderId="127" xfId="0" applyBorder="1"/>
    <xf numFmtId="0" fontId="26" fillId="0" borderId="0" xfId="0" applyFont="1"/>
    <xf numFmtId="0" fontId="22" fillId="0" borderId="122" xfId="0" applyFont="1" applyBorder="1"/>
    <xf numFmtId="0" fontId="12" fillId="6" borderId="23" xfId="0" applyFont="1" applyFill="1" applyBorder="1" applyAlignment="1">
      <alignment horizontal="right"/>
    </xf>
    <xf numFmtId="0" fontId="12" fillId="6" borderId="0" xfId="0" applyFont="1" applyFill="1" applyAlignment="1">
      <alignment horizontal="center"/>
    </xf>
    <xf numFmtId="0" fontId="12" fillId="6" borderId="23" xfId="0" applyFont="1" applyFill="1" applyBorder="1" applyAlignment="1">
      <alignment horizontal="right" vertical="top"/>
    </xf>
    <xf numFmtId="0" fontId="12" fillId="6" borderId="0" xfId="0" applyFont="1" applyFill="1" applyAlignment="1">
      <alignment horizontal="center" vertical="top"/>
    </xf>
    <xf numFmtId="0" fontId="17" fillId="6" borderId="23" xfId="0" applyFont="1" applyFill="1" applyBorder="1" applyAlignment="1">
      <alignment horizontal="left"/>
    </xf>
    <xf numFmtId="0" fontId="17" fillId="0" borderId="23" xfId="0" applyFont="1" applyBorder="1" applyAlignment="1">
      <alignment horizontal="left"/>
    </xf>
    <xf numFmtId="0" fontId="17" fillId="0" borderId="27" xfId="0" applyFont="1" applyBorder="1" applyAlignment="1">
      <alignment horizontal="center"/>
    </xf>
    <xf numFmtId="0" fontId="17" fillId="0" borderId="26" xfId="0" applyFont="1" applyBorder="1" applyAlignment="1">
      <alignment horizontal="left"/>
    </xf>
    <xf numFmtId="0" fontId="17" fillId="0" borderId="72" xfId="0" applyFont="1" applyBorder="1" applyAlignment="1">
      <alignment horizontal="center"/>
    </xf>
    <xf numFmtId="0" fontId="31" fillId="0" borderId="8" xfId="0" applyFont="1" applyBorder="1" applyAlignment="1">
      <alignment horizontal="right" vertical="center"/>
    </xf>
    <xf numFmtId="3" fontId="31" fillId="0" borderId="14" xfId="0" applyNumberFormat="1" applyFont="1" applyBorder="1" applyAlignment="1">
      <alignment horizontal="center" vertical="center"/>
    </xf>
    <xf numFmtId="0" fontId="31" fillId="0" borderId="10" xfId="0" applyFont="1" applyBorder="1" applyAlignment="1">
      <alignment horizontal="right" vertical="center"/>
    </xf>
    <xf numFmtId="3" fontId="31" fillId="0" borderId="15" xfId="0" applyNumberFormat="1" applyFont="1" applyBorder="1" applyAlignment="1">
      <alignment horizontal="center" vertical="center"/>
    </xf>
    <xf numFmtId="164" fontId="47" fillId="0" borderId="133" xfId="0" applyNumberFormat="1" applyFont="1" applyBorder="1" applyAlignment="1">
      <alignment horizontal="right"/>
    </xf>
    <xf numFmtId="0" fontId="47" fillId="0" borderId="1" xfId="0" applyFont="1" applyBorder="1" applyAlignment="1">
      <alignment horizontal="right"/>
    </xf>
    <xf numFmtId="0" fontId="47" fillId="0" borderId="87" xfId="0" applyFont="1" applyBorder="1" applyAlignment="1">
      <alignment horizontal="right"/>
    </xf>
    <xf numFmtId="0" fontId="47" fillId="0" borderId="125" xfId="0" applyFont="1" applyBorder="1" applyAlignment="1">
      <alignment horizontal="right"/>
    </xf>
    <xf numFmtId="3" fontId="51" fillId="0" borderId="134" xfId="3" applyNumberFormat="1" applyFont="1" applyFill="1" applyBorder="1" applyAlignment="1" applyProtection="1">
      <alignment horizontal="right"/>
    </xf>
    <xf numFmtId="4" fontId="51" fillId="0" borderId="134" xfId="3" applyNumberFormat="1" applyFont="1" applyFill="1" applyBorder="1" applyAlignment="1" applyProtection="1">
      <alignment horizontal="right"/>
    </xf>
    <xf numFmtId="3" fontId="47" fillId="0" borderId="134" xfId="0" applyNumberFormat="1" applyFont="1" applyBorder="1"/>
    <xf numFmtId="3" fontId="51" fillId="0" borderId="134" xfId="3" applyNumberFormat="1" applyFont="1" applyFill="1" applyBorder="1" applyProtection="1"/>
    <xf numFmtId="3" fontId="51" fillId="0" borderId="126" xfId="3" applyNumberFormat="1" applyFont="1" applyFill="1" applyBorder="1" applyAlignment="1" applyProtection="1">
      <alignment horizontal="center"/>
    </xf>
    <xf numFmtId="0" fontId="47" fillId="0" borderId="0" xfId="0" applyFont="1"/>
    <xf numFmtId="0" fontId="22" fillId="0" borderId="0" xfId="0" applyFont="1" applyAlignment="1">
      <alignment horizontal="left"/>
    </xf>
    <xf numFmtId="0" fontId="22" fillId="0" borderId="0" xfId="0" applyFont="1"/>
    <xf numFmtId="0" fontId="0" fillId="0" borderId="136" xfId="0" applyBorder="1"/>
    <xf numFmtId="0" fontId="0" fillId="0" borderId="111" xfId="0" applyBorder="1"/>
    <xf numFmtId="2" fontId="31" fillId="0" borderId="0" xfId="4" applyNumberFormat="1" applyFont="1" applyFill="1" applyBorder="1" applyAlignment="1" applyProtection="1"/>
    <xf numFmtId="4" fontId="53" fillId="0" borderId="93" xfId="4" applyNumberFormat="1" applyFont="1" applyFill="1" applyBorder="1" applyAlignment="1" applyProtection="1"/>
    <xf numFmtId="0" fontId="53" fillId="0" borderId="93" xfId="0" applyFont="1" applyBorder="1"/>
    <xf numFmtId="4" fontId="31" fillId="0" borderId="93" xfId="4" applyNumberFormat="1" applyFont="1" applyFill="1" applyBorder="1" applyAlignment="1" applyProtection="1"/>
    <xf numFmtId="0" fontId="31" fillId="0" borderId="93" xfId="0" applyFont="1" applyBorder="1"/>
    <xf numFmtId="0" fontId="12" fillId="0" borderId="137" xfId="0" applyFont="1" applyBorder="1"/>
    <xf numFmtId="0" fontId="0" fillId="0" borderId="138" xfId="0" applyBorder="1"/>
    <xf numFmtId="3" fontId="50" fillId="0" borderId="12" xfId="2" applyNumberFormat="1" applyFont="1" applyFill="1" applyBorder="1" applyAlignment="1" applyProtection="1">
      <alignment horizontal="right" wrapText="1"/>
    </xf>
    <xf numFmtId="3" fontId="31" fillId="0" borderId="12" xfId="4" applyNumberFormat="1" applyFont="1" applyFill="1" applyBorder="1" applyAlignment="1" applyProtection="1">
      <alignment horizontal="right" wrapText="1"/>
    </xf>
    <xf numFmtId="0" fontId="0" fillId="0" borderId="12" xfId="0" applyBorder="1" applyAlignment="1">
      <alignment wrapText="1"/>
    </xf>
    <xf numFmtId="3" fontId="50" fillId="0" borderId="12" xfId="2" applyNumberFormat="1" applyFont="1" applyFill="1" applyBorder="1" applyAlignment="1" applyProtection="1">
      <alignment horizontal="center" wrapText="1"/>
    </xf>
    <xf numFmtId="3" fontId="50" fillId="0" borderId="0" xfId="2" applyNumberFormat="1" applyFont="1" applyFill="1" applyBorder="1" applyAlignment="1" applyProtection="1">
      <alignment horizontal="right"/>
    </xf>
    <xf numFmtId="3" fontId="50" fillId="0" borderId="0" xfId="2" applyNumberFormat="1" applyFont="1" applyFill="1" applyBorder="1" applyAlignment="1" applyProtection="1">
      <alignment horizontal="center"/>
    </xf>
    <xf numFmtId="174" fontId="47" fillId="0" borderId="139" xfId="0" applyNumberFormat="1" applyFont="1" applyBorder="1"/>
    <xf numFmtId="174" fontId="0" fillId="0" borderId="141" xfId="0" applyNumberFormat="1" applyBorder="1" applyAlignment="1">
      <alignment horizontal="center"/>
    </xf>
    <xf numFmtId="174" fontId="47" fillId="0" borderId="18" xfId="0" applyNumberFormat="1" applyFont="1" applyBorder="1" applyAlignment="1">
      <alignment horizontal="left"/>
    </xf>
    <xf numFmtId="0" fontId="0" fillId="0" borderId="144" xfId="0" applyBorder="1" applyAlignment="1">
      <alignment wrapText="1"/>
    </xf>
    <xf numFmtId="3" fontId="50" fillId="0" borderId="144" xfId="2" applyNumberFormat="1" applyFont="1" applyFill="1" applyBorder="1" applyAlignment="1" applyProtection="1">
      <alignment horizontal="right" wrapText="1"/>
    </xf>
    <xf numFmtId="3" fontId="50" fillId="0" borderId="144" xfId="2" applyNumberFormat="1" applyFont="1" applyFill="1" applyBorder="1" applyAlignment="1" applyProtection="1">
      <alignment horizontal="center" wrapText="1"/>
    </xf>
    <xf numFmtId="0" fontId="0" fillId="0" borderId="145" xfId="0" applyBorder="1"/>
    <xf numFmtId="4" fontId="53" fillId="0" borderId="145" xfId="4" applyNumberFormat="1" applyFont="1" applyFill="1" applyBorder="1" applyAlignment="1" applyProtection="1"/>
    <xf numFmtId="0" fontId="31" fillId="0" borderId="145" xfId="0" applyFont="1" applyBorder="1"/>
    <xf numFmtId="4" fontId="31" fillId="0" borderId="145" xfId="4" applyNumberFormat="1" applyFont="1" applyFill="1" applyBorder="1" applyAlignment="1" applyProtection="1"/>
    <xf numFmtId="0" fontId="17" fillId="0" borderId="138" xfId="0" applyFont="1" applyBorder="1"/>
    <xf numFmtId="0" fontId="47" fillId="0" borderId="124" xfId="0" applyFont="1" applyBorder="1"/>
    <xf numFmtId="0" fontId="0" fillId="0" borderId="23" xfId="0" applyBorder="1"/>
    <xf numFmtId="0" fontId="0" fillId="0" borderId="27" xfId="0" applyBorder="1"/>
    <xf numFmtId="0" fontId="0" fillId="0" borderId="123" xfId="0" applyBorder="1"/>
    <xf numFmtId="0" fontId="0" fillId="0" borderId="108" xfId="0" applyBorder="1"/>
    <xf numFmtId="0" fontId="48" fillId="0" borderId="113" xfId="0" applyFont="1" applyBorder="1"/>
    <xf numFmtId="0" fontId="39" fillId="0" borderId="0" xfId="8" applyBorder="1" applyAlignment="1"/>
    <xf numFmtId="0" fontId="39" fillId="0" borderId="0" xfId="8" applyBorder="1" applyAlignment="1">
      <alignment horizontal="right"/>
    </xf>
    <xf numFmtId="0" fontId="47" fillId="0" borderId="2" xfId="0" applyFont="1" applyBorder="1"/>
    <xf numFmtId="0" fontId="0" fillId="0" borderId="74" xfId="0" applyBorder="1"/>
    <xf numFmtId="0" fontId="0" fillId="6" borderId="18" xfId="0" applyFill="1" applyBorder="1"/>
    <xf numFmtId="3" fontId="0" fillId="6" borderId="65" xfId="0" applyNumberFormat="1" applyFill="1" applyBorder="1" applyAlignment="1">
      <alignment horizontal="right"/>
    </xf>
    <xf numFmtId="0" fontId="0" fillId="6" borderId="5" xfId="0" applyFill="1" applyBorder="1" applyAlignment="1">
      <alignment horizontal="left"/>
    </xf>
    <xf numFmtId="0" fontId="0" fillId="6" borderId="9" xfId="0" applyFill="1" applyBorder="1" applyAlignment="1">
      <alignment wrapText="1"/>
    </xf>
    <xf numFmtId="0" fontId="0" fillId="6" borderId="19" xfId="0" applyFill="1" applyBorder="1" applyAlignment="1">
      <alignment wrapText="1"/>
    </xf>
    <xf numFmtId="1" fontId="0" fillId="6" borderId="65" xfId="0" applyNumberFormat="1" applyFill="1" applyBorder="1"/>
    <xf numFmtId="0" fontId="0" fillId="6" borderId="5" xfId="0" applyFill="1" applyBorder="1"/>
    <xf numFmtId="0" fontId="18" fillId="6" borderId="9" xfId="0" applyFont="1" applyFill="1" applyBorder="1"/>
    <xf numFmtId="0" fontId="18" fillId="6" borderId="19" xfId="0" applyFont="1" applyFill="1" applyBorder="1"/>
    <xf numFmtId="3" fontId="0" fillId="0" borderId="73" xfId="0" applyNumberFormat="1" applyBorder="1" applyAlignment="1">
      <alignment horizontal="right"/>
    </xf>
    <xf numFmtId="3" fontId="0" fillId="11" borderId="73" xfId="0" applyNumberFormat="1" applyFill="1" applyBorder="1" applyProtection="1">
      <protection locked="0"/>
    </xf>
    <xf numFmtId="0" fontId="0" fillId="11" borderId="75" xfId="0" applyFill="1" applyBorder="1" applyProtection="1">
      <protection locked="0"/>
    </xf>
    <xf numFmtId="0" fontId="0" fillId="6" borderId="93" xfId="0" applyFill="1" applyBorder="1"/>
    <xf numFmtId="3" fontId="0" fillId="6" borderId="148" xfId="0" applyNumberFormat="1" applyFill="1" applyBorder="1" applyAlignment="1">
      <alignment horizontal="right"/>
    </xf>
    <xf numFmtId="0" fontId="0" fillId="6" borderId="149" xfId="0" applyFill="1" applyBorder="1" applyAlignment="1">
      <alignment horizontal="left"/>
    </xf>
    <xf numFmtId="0" fontId="0" fillId="6" borderId="128" xfId="0" applyFill="1" applyBorder="1" applyAlignment="1">
      <alignment wrapText="1"/>
    </xf>
    <xf numFmtId="0" fontId="0" fillId="6" borderId="127" xfId="0" applyFill="1" applyBorder="1" applyAlignment="1">
      <alignment wrapText="1"/>
    </xf>
    <xf numFmtId="0" fontId="47" fillId="6" borderId="13" xfId="0" applyFont="1" applyFill="1" applyBorder="1"/>
    <xf numFmtId="0" fontId="0" fillId="6" borderId="13" xfId="0" applyFill="1" applyBorder="1"/>
    <xf numFmtId="0" fontId="0" fillId="6" borderId="7" xfId="0" applyFill="1" applyBorder="1" applyAlignment="1">
      <alignment horizontal="left"/>
    </xf>
    <xf numFmtId="0" fontId="0" fillId="6" borderId="17" xfId="0" applyFill="1" applyBorder="1" applyAlignment="1">
      <alignment horizontal="center"/>
    </xf>
    <xf numFmtId="0" fontId="0" fillId="6" borderId="73" xfId="0" applyFill="1" applyBorder="1" applyProtection="1">
      <protection locked="0"/>
    </xf>
    <xf numFmtId="0" fontId="0" fillId="6" borderId="75" xfId="0" applyFill="1" applyBorder="1" applyAlignment="1">
      <alignment horizontal="center"/>
    </xf>
    <xf numFmtId="0" fontId="0" fillId="6" borderId="0" xfId="0" applyFill="1" applyAlignment="1">
      <alignment horizontal="center"/>
    </xf>
    <xf numFmtId="0" fontId="0" fillId="0" borderId="9" xfId="0" applyBorder="1"/>
    <xf numFmtId="0" fontId="0" fillId="11" borderId="9" xfId="0" applyFill="1" applyBorder="1" applyProtection="1">
      <protection locked="0"/>
    </xf>
    <xf numFmtId="0" fontId="0" fillId="6" borderId="9" xfId="0" applyFill="1" applyBorder="1"/>
    <xf numFmtId="0" fontId="0" fillId="6" borderId="19" xfId="0" applyFill="1" applyBorder="1"/>
    <xf numFmtId="2" fontId="0" fillId="6" borderId="9" xfId="0" applyNumberFormat="1" applyFill="1" applyBorder="1"/>
    <xf numFmtId="0" fontId="0" fillId="6" borderId="0" xfId="0" applyFill="1" applyAlignment="1">
      <alignment horizontal="left"/>
    </xf>
    <xf numFmtId="172" fontId="0" fillId="0" borderId="9" xfId="0" applyNumberFormat="1" applyBorder="1"/>
    <xf numFmtId="172" fontId="0" fillId="0" borderId="128" xfId="0" applyNumberFormat="1" applyBorder="1"/>
    <xf numFmtId="0" fontId="0" fillId="11" borderId="128" xfId="0" applyFill="1" applyBorder="1" applyProtection="1">
      <protection locked="0"/>
    </xf>
    <xf numFmtId="0" fontId="0" fillId="6" borderId="73" xfId="0" applyFill="1" applyBorder="1"/>
    <xf numFmtId="0" fontId="0" fillId="6" borderId="75" xfId="0" applyFill="1" applyBorder="1"/>
    <xf numFmtId="2" fontId="0" fillId="0" borderId="9" xfId="0" applyNumberFormat="1" applyBorder="1"/>
    <xf numFmtId="2" fontId="0" fillId="0" borderId="74" xfId="0" applyNumberFormat="1" applyBorder="1"/>
    <xf numFmtId="0" fontId="0" fillId="6" borderId="74" xfId="0" applyFill="1" applyBorder="1"/>
    <xf numFmtId="0" fontId="47" fillId="0" borderId="20" xfId="0" applyFont="1" applyBorder="1"/>
    <xf numFmtId="2" fontId="47" fillId="0" borderId="11" xfId="0" applyNumberFormat="1" applyFont="1" applyBorder="1"/>
    <xf numFmtId="0" fontId="47" fillId="0" borderId="76" xfId="0" applyFont="1" applyBorder="1"/>
    <xf numFmtId="0" fontId="47" fillId="0" borderId="93" xfId="0" applyFont="1" applyBorder="1"/>
    <xf numFmtId="2" fontId="47" fillId="0" borderId="128" xfId="0" applyNumberFormat="1" applyFont="1" applyBorder="1"/>
    <xf numFmtId="0" fontId="47" fillId="0" borderId="127" xfId="0" applyFont="1" applyBorder="1"/>
    <xf numFmtId="1" fontId="0" fillId="0" borderId="9" xfId="0" applyNumberFormat="1" applyBorder="1"/>
    <xf numFmtId="2" fontId="0" fillId="0" borderId="128" xfId="0" applyNumberFormat="1" applyBorder="1"/>
    <xf numFmtId="4" fontId="0" fillId="0" borderId="73" xfId="0" applyNumberFormat="1" applyBorder="1"/>
    <xf numFmtId="3" fontId="0" fillId="0" borderId="9" xfId="0" applyNumberFormat="1" applyBorder="1"/>
    <xf numFmtId="3" fontId="0" fillId="0" borderId="128" xfId="0" applyNumberFormat="1" applyBorder="1"/>
    <xf numFmtId="3" fontId="0" fillId="0" borderId="11" xfId="0" applyNumberFormat="1" applyBorder="1"/>
    <xf numFmtId="0" fontId="0" fillId="0" borderId="11" xfId="0" applyBorder="1"/>
    <xf numFmtId="0" fontId="0" fillId="0" borderId="128" xfId="0" applyBorder="1"/>
    <xf numFmtId="0" fontId="55" fillId="0" borderId="0" xfId="8" applyFont="1" applyBorder="1"/>
    <xf numFmtId="0" fontId="48" fillId="0" borderId="0" xfId="0" applyFont="1"/>
    <xf numFmtId="0" fontId="48" fillId="0" borderId="74" xfId="0" applyFont="1" applyBorder="1"/>
    <xf numFmtId="0" fontId="48" fillId="6" borderId="4" xfId="0" applyFont="1" applyFill="1" applyBorder="1"/>
    <xf numFmtId="3" fontId="48" fillId="6" borderId="4" xfId="0" applyNumberFormat="1" applyFont="1" applyFill="1" applyBorder="1"/>
    <xf numFmtId="3" fontId="48" fillId="0" borderId="65" xfId="0" applyNumberFormat="1" applyFont="1" applyBorder="1" applyAlignment="1">
      <alignment horizontal="left"/>
    </xf>
    <xf numFmtId="0" fontId="48" fillId="6" borderId="94" xfId="0" applyFont="1" applyFill="1" applyBorder="1"/>
    <xf numFmtId="0" fontId="48" fillId="6" borderId="0" xfId="0" applyFont="1" applyFill="1"/>
    <xf numFmtId="4" fontId="48" fillId="0" borderId="74" xfId="0" applyNumberFormat="1" applyFont="1" applyBorder="1" applyAlignment="1">
      <alignment horizontal="left"/>
    </xf>
    <xf numFmtId="0" fontId="0" fillId="0" borderId="101" xfId="0" applyBorder="1"/>
    <xf numFmtId="0" fontId="31" fillId="0" borderId="10" xfId="0" applyFont="1" applyBorder="1"/>
    <xf numFmtId="0" fontId="31" fillId="0" borderId="108" xfId="0" applyFont="1" applyBorder="1"/>
    <xf numFmtId="0" fontId="31" fillId="0" borderId="22" xfId="5" applyFont="1" applyFill="1" applyBorder="1" applyAlignment="1" applyProtection="1"/>
    <xf numFmtId="0" fontId="31" fillId="0" borderId="94" xfId="6" applyFont="1" applyFill="1" applyBorder="1" applyAlignment="1" applyProtection="1"/>
    <xf numFmtId="0" fontId="0" fillId="0" borderId="108" xfId="0" applyBorder="1" applyAlignment="1">
      <alignment horizontal="left"/>
    </xf>
    <xf numFmtId="0" fontId="0" fillId="0" borderId="22" xfId="0" applyBorder="1" applyAlignment="1">
      <alignment horizontal="left"/>
    </xf>
    <xf numFmtId="0" fontId="0" fillId="0" borderId="10" xfId="0" applyBorder="1" applyAlignment="1">
      <alignment horizontal="left"/>
    </xf>
    <xf numFmtId="0" fontId="39" fillId="0" borderId="109" xfId="8" applyBorder="1"/>
    <xf numFmtId="0" fontId="14" fillId="0" borderId="109" xfId="0" applyFont="1" applyBorder="1"/>
    <xf numFmtId="0" fontId="14" fillId="6" borderId="109" xfId="0" applyFont="1" applyFill="1" applyBorder="1"/>
    <xf numFmtId="0" fontId="0" fillId="6" borderId="22" xfId="0" applyFill="1" applyBorder="1" applyAlignment="1">
      <alignment horizontal="left"/>
    </xf>
    <xf numFmtId="0" fontId="31" fillId="0" borderId="80" xfId="5" applyFont="1" applyFill="1" applyBorder="1" applyAlignment="1" applyProtection="1">
      <alignment horizontal="left"/>
    </xf>
    <xf numFmtId="0" fontId="0" fillId="6" borderId="4" xfId="0" applyFill="1" applyBorder="1" applyAlignment="1">
      <alignment horizontal="left"/>
    </xf>
    <xf numFmtId="166" fontId="31" fillId="0" borderId="15" xfId="5" applyNumberFormat="1" applyFont="1" applyFill="1" applyBorder="1" applyAlignment="1" applyProtection="1">
      <alignment horizontal="left"/>
    </xf>
    <xf numFmtId="14" fontId="31" fillId="0" borderId="15" xfId="5" applyNumberFormat="1" applyFont="1" applyFill="1" applyBorder="1" applyAlignment="1" applyProtection="1">
      <alignment horizontal="left"/>
    </xf>
    <xf numFmtId="0" fontId="0" fillId="0" borderId="24" xfId="0" applyBorder="1"/>
    <xf numFmtId="0" fontId="0" fillId="0" borderId="94" xfId="0" applyBorder="1"/>
    <xf numFmtId="0" fontId="0" fillId="6" borderId="12" xfId="0" applyFill="1" applyBorder="1"/>
    <xf numFmtId="0" fontId="53" fillId="0" borderId="12" xfId="0" applyFont="1" applyBorder="1"/>
    <xf numFmtId="0" fontId="0" fillId="6" borderId="12" xfId="0" applyFill="1" applyBorder="1" applyAlignment="1">
      <alignment horizontal="left"/>
    </xf>
    <xf numFmtId="0" fontId="0" fillId="6" borderId="15" xfId="0" applyFill="1" applyBorder="1"/>
    <xf numFmtId="0" fontId="0" fillId="6" borderId="108" xfId="0" applyFill="1" applyBorder="1" applyProtection="1">
      <protection locked="0"/>
    </xf>
    <xf numFmtId="0" fontId="0" fillId="10" borderId="22" xfId="0" applyFill="1" applyBorder="1" applyProtection="1">
      <protection locked="0"/>
    </xf>
    <xf numFmtId="0" fontId="0" fillId="0" borderId="22" xfId="0" applyBorder="1"/>
    <xf numFmtId="0" fontId="0" fillId="10" borderId="4" xfId="0" applyFill="1" applyBorder="1" applyProtection="1">
      <protection locked="0"/>
    </xf>
    <xf numFmtId="0" fontId="0" fillId="0" borderId="4" xfId="0" applyBorder="1"/>
    <xf numFmtId="0" fontId="0" fillId="10" borderId="4" xfId="0" applyFill="1" applyBorder="1" applyAlignment="1" applyProtection="1">
      <alignment horizontal="right"/>
      <protection locked="0"/>
    </xf>
    <xf numFmtId="0" fontId="18" fillId="12" borderId="93" xfId="0" applyFont="1" applyFill="1" applyBorder="1"/>
    <xf numFmtId="0" fontId="18" fillId="0" borderId="93" xfId="0" applyFont="1" applyBorder="1"/>
    <xf numFmtId="0" fontId="18" fillId="6" borderId="93" xfId="0" applyFont="1" applyFill="1" applyBorder="1"/>
    <xf numFmtId="0" fontId="18" fillId="12" borderId="94" xfId="0" applyFont="1" applyFill="1" applyBorder="1" applyAlignment="1" applyProtection="1">
      <alignment horizontal="right"/>
      <protection locked="0"/>
    </xf>
    <xf numFmtId="0" fontId="18" fillId="0" borderId="94" xfId="0" applyFont="1" applyBorder="1"/>
    <xf numFmtId="0" fontId="0" fillId="0" borderId="22" xfId="0" applyBorder="1" applyAlignment="1">
      <alignment horizontal="right"/>
    </xf>
    <xf numFmtId="0" fontId="18" fillId="0" borderId="94" xfId="0" applyFont="1" applyBorder="1" applyAlignment="1">
      <alignment horizontal="right"/>
    </xf>
    <xf numFmtId="0" fontId="0" fillId="0" borderId="13" xfId="0" applyBorder="1"/>
    <xf numFmtId="3" fontId="0" fillId="10" borderId="21" xfId="0" applyNumberFormat="1" applyFill="1" applyBorder="1" applyProtection="1">
      <protection locked="0"/>
    </xf>
    <xf numFmtId="0" fontId="0" fillId="0" borderId="21" xfId="0" applyBorder="1"/>
    <xf numFmtId="3" fontId="18" fillId="0" borderId="94" xfId="0" applyNumberFormat="1" applyFont="1" applyBorder="1"/>
    <xf numFmtId="3" fontId="18" fillId="0" borderId="94" xfId="0" applyNumberFormat="1" applyFont="1" applyBorder="1" applyProtection="1">
      <protection locked="0"/>
    </xf>
    <xf numFmtId="0" fontId="18" fillId="0" borderId="20" xfId="0" applyFont="1" applyBorder="1"/>
    <xf numFmtId="0" fontId="18" fillId="6" borderId="20" xfId="0" applyFont="1" applyFill="1" applyBorder="1"/>
    <xf numFmtId="3" fontId="18" fillId="0" borderId="6" xfId="0" applyNumberFormat="1" applyFont="1" applyBorder="1"/>
    <xf numFmtId="0" fontId="18" fillId="0" borderId="6" xfId="0" applyFont="1" applyBorder="1"/>
    <xf numFmtId="0" fontId="18" fillId="0" borderId="16" xfId="0" applyFont="1" applyBorder="1"/>
    <xf numFmtId="3" fontId="0" fillId="11" borderId="22" xfId="0" applyNumberFormat="1" applyFill="1" applyBorder="1" applyProtection="1">
      <protection locked="0"/>
    </xf>
    <xf numFmtId="0" fontId="18" fillId="0" borderId="90" xfId="0" applyFont="1" applyBorder="1"/>
    <xf numFmtId="3" fontId="0" fillId="0" borderId="22" xfId="0" applyNumberFormat="1" applyBorder="1"/>
    <xf numFmtId="2" fontId="0" fillId="0" borderId="4" xfId="0" applyNumberFormat="1" applyBorder="1"/>
    <xf numFmtId="4" fontId="18" fillId="0" borderId="94" xfId="0" applyNumberFormat="1" applyFont="1" applyBorder="1"/>
    <xf numFmtId="3" fontId="0" fillId="6" borderId="4" xfId="0" applyNumberFormat="1" applyFill="1" applyBorder="1"/>
    <xf numFmtId="0" fontId="0" fillId="6" borderId="4" xfId="0" applyFill="1" applyBorder="1"/>
    <xf numFmtId="3" fontId="31" fillId="11" borderId="4" xfId="0" applyNumberFormat="1" applyFont="1" applyFill="1" applyBorder="1" applyProtection="1">
      <protection locked="0"/>
    </xf>
    <xf numFmtId="0" fontId="18" fillId="0" borderId="18" xfId="0" applyFont="1" applyBorder="1"/>
    <xf numFmtId="0" fontId="18" fillId="6" borderId="18" xfId="0" applyFont="1" applyFill="1" applyBorder="1"/>
    <xf numFmtId="3" fontId="18" fillId="0" borderId="4" xfId="0" applyNumberFormat="1" applyFont="1" applyBorder="1" applyProtection="1">
      <protection locked="0"/>
    </xf>
    <xf numFmtId="0" fontId="18" fillId="0" borderId="4" xfId="0" applyFont="1" applyBorder="1"/>
    <xf numFmtId="3" fontId="0" fillId="0" borderId="4" xfId="0" applyNumberFormat="1" applyBorder="1"/>
    <xf numFmtId="3" fontId="0" fillId="0" borderId="94" xfId="0" applyNumberFormat="1" applyBorder="1"/>
    <xf numFmtId="0" fontId="0" fillId="0" borderId="15" xfId="0" applyBorder="1"/>
    <xf numFmtId="0" fontId="0" fillId="0" borderId="90" xfId="0" applyBorder="1"/>
    <xf numFmtId="0" fontId="0" fillId="6" borderId="24" xfId="0" applyFill="1" applyBorder="1"/>
    <xf numFmtId="0" fontId="0" fillId="0" borderId="24" xfId="0" applyBorder="1" applyAlignment="1">
      <alignment horizontal="right"/>
    </xf>
    <xf numFmtId="0" fontId="0" fillId="0" borderId="24" xfId="0" applyBorder="1" applyAlignment="1">
      <alignment horizontal="center" wrapText="1"/>
    </xf>
    <xf numFmtId="0" fontId="0" fillId="0" borderId="24" xfId="0" applyBorder="1" applyAlignment="1">
      <alignment horizontal="center"/>
    </xf>
    <xf numFmtId="0" fontId="0" fillId="0" borderId="26" xfId="0" applyBorder="1" applyAlignment="1">
      <alignment horizontal="left"/>
    </xf>
    <xf numFmtId="0" fontId="0" fillId="0" borderId="25" xfId="0" applyBorder="1"/>
    <xf numFmtId="0" fontId="0" fillId="6" borderId="25" xfId="0" applyFill="1" applyBorder="1"/>
    <xf numFmtId="0" fontId="0" fillId="0" borderId="25" xfId="0" applyBorder="1" applyAlignment="1">
      <alignment horizontal="center" wrapText="1"/>
    </xf>
    <xf numFmtId="0" fontId="0" fillId="11" borderId="22" xfId="0" applyFill="1" applyBorder="1" applyProtection="1">
      <protection locked="0"/>
    </xf>
    <xf numFmtId="0" fontId="0" fillId="6" borderId="22" xfId="0" applyFill="1" applyBorder="1" applyProtection="1">
      <protection locked="0"/>
    </xf>
    <xf numFmtId="0" fontId="0" fillId="11" borderId="22" xfId="0" applyFill="1" applyBorder="1" applyAlignment="1" applyProtection="1">
      <alignment horizontal="center"/>
      <protection locked="0"/>
    </xf>
    <xf numFmtId="2" fontId="0" fillId="0" borderId="22" xfId="0" applyNumberFormat="1" applyBorder="1" applyAlignment="1">
      <alignment horizontal="center"/>
    </xf>
    <xf numFmtId="0" fontId="0" fillId="11" borderId="4" xfId="0" applyFill="1" applyBorder="1" applyProtection="1">
      <protection locked="0"/>
    </xf>
    <xf numFmtId="0" fontId="0" fillId="6" borderId="4" xfId="0" applyFill="1" applyBorder="1" applyProtection="1">
      <protection locked="0"/>
    </xf>
    <xf numFmtId="0" fontId="0" fillId="11" borderId="4" xfId="0" applyFill="1" applyBorder="1" applyAlignment="1" applyProtection="1">
      <alignment horizontal="center"/>
      <protection locked="0"/>
    </xf>
    <xf numFmtId="2" fontId="0" fillId="0" borderId="4" xfId="0" applyNumberFormat="1" applyBorder="1" applyAlignment="1">
      <alignment horizontal="center"/>
    </xf>
    <xf numFmtId="0" fontId="31" fillId="0" borderId="0" xfId="0" applyFont="1"/>
    <xf numFmtId="0" fontId="57" fillId="0" borderId="0" xfId="0" applyFont="1" applyAlignment="1">
      <alignment horizontal="left" vertical="top"/>
    </xf>
    <xf numFmtId="0" fontId="0" fillId="0" borderId="137" xfId="0" applyBorder="1"/>
    <xf numFmtId="0" fontId="0" fillId="0" borderId="150" xfId="0" applyBorder="1"/>
    <xf numFmtId="0" fontId="0" fillId="0" borderId="151" xfId="0" applyBorder="1" applyAlignment="1">
      <alignment horizontal="left" vertical="top"/>
    </xf>
    <xf numFmtId="0" fontId="0" fillId="0" borderId="151" xfId="0" applyBorder="1"/>
    <xf numFmtId="3" fontId="0" fillId="0" borderId="0" xfId="0" applyNumberFormat="1" applyAlignment="1">
      <alignment vertical="center"/>
    </xf>
    <xf numFmtId="0" fontId="0" fillId="0" borderId="0" xfId="0" applyAlignment="1" applyProtection="1">
      <alignment vertical="top" wrapText="1"/>
      <protection hidden="1"/>
    </xf>
    <xf numFmtId="0" fontId="42" fillId="0" borderId="0" xfId="7" applyAlignment="1">
      <alignment horizontal="left" vertical="top" wrapText="1"/>
    </xf>
    <xf numFmtId="0" fontId="2" fillId="0" borderId="0" xfId="0" applyFont="1"/>
    <xf numFmtId="171" fontId="31" fillId="0" borderId="4" xfId="5" applyNumberFormat="1" applyFont="1" applyFill="1" applyBorder="1" applyAlignment="1" applyProtection="1">
      <alignment horizontal="left"/>
    </xf>
    <xf numFmtId="0" fontId="12" fillId="0" borderId="0" xfId="0" applyFont="1" applyAlignment="1">
      <alignment horizontal="left"/>
    </xf>
    <xf numFmtId="0" fontId="8" fillId="0" borderId="0" xfId="0" applyFont="1" applyAlignment="1">
      <alignment vertical="center"/>
    </xf>
    <xf numFmtId="0" fontId="12" fillId="0" borderId="0" xfId="0" applyFont="1" applyAlignment="1">
      <alignment vertical="top"/>
    </xf>
    <xf numFmtId="170" fontId="12" fillId="0" borderId="0" xfId="0" applyNumberFormat="1" applyFont="1" applyAlignment="1">
      <alignment horizontal="center"/>
    </xf>
    <xf numFmtId="0" fontId="13" fillId="0" borderId="0" xfId="0" applyFont="1"/>
    <xf numFmtId="0" fontId="12" fillId="0" borderId="0" xfId="0" applyFont="1" applyProtection="1">
      <protection locked="0"/>
    </xf>
    <xf numFmtId="0" fontId="39" fillId="0" borderId="0" xfId="8" applyFill="1" applyAlignment="1">
      <alignment vertical="top"/>
    </xf>
    <xf numFmtId="0" fontId="3" fillId="0" borderId="0" xfId="0" applyFont="1" applyAlignment="1">
      <alignment vertical="top" wrapText="1"/>
    </xf>
    <xf numFmtId="0" fontId="3" fillId="0" borderId="0" xfId="0" applyFont="1" applyAlignment="1">
      <alignment vertical="top"/>
    </xf>
    <xf numFmtId="0" fontId="39" fillId="0" borderId="0" xfId="8" applyAlignment="1">
      <alignment vertical="center" wrapText="1"/>
    </xf>
    <xf numFmtId="0" fontId="37" fillId="0" borderId="0" xfId="0" applyFont="1" applyAlignment="1">
      <alignment vertical="center" wrapText="1"/>
    </xf>
    <xf numFmtId="0" fontId="37" fillId="0" borderId="0" xfId="0" applyFont="1" applyAlignment="1">
      <alignment vertical="top" wrapText="1"/>
    </xf>
    <xf numFmtId="0" fontId="42" fillId="0" borderId="0" xfId="7" applyAlignment="1">
      <alignment horizontal="left" vertical="top" wrapText="1"/>
    </xf>
    <xf numFmtId="0" fontId="40" fillId="0" borderId="0" xfId="9" applyProtection="1">
      <protection hidden="1"/>
    </xf>
    <xf numFmtId="0" fontId="0" fillId="0" borderId="0" xfId="0" quotePrefix="1" applyAlignment="1">
      <alignment vertical="top" wrapText="1"/>
    </xf>
    <xf numFmtId="0" fontId="0" fillId="0" borderId="0" xfId="0" applyAlignment="1">
      <alignment vertical="top" wrapText="1"/>
    </xf>
    <xf numFmtId="0" fontId="0" fillId="0" borderId="0" xfId="0"/>
    <xf numFmtId="0" fontId="0" fillId="0" borderId="0" xfId="0" applyAlignment="1" applyProtection="1">
      <alignment vertical="top" wrapText="1"/>
      <protection hidden="1"/>
    </xf>
    <xf numFmtId="0" fontId="39" fillId="0" borderId="0" xfId="8" applyBorder="1" applyAlignment="1" applyProtection="1">
      <protection hidden="1"/>
    </xf>
    <xf numFmtId="0" fontId="0" fillId="17" borderId="0" xfId="0" applyFill="1" applyAlignment="1">
      <alignment horizontal="center" vertical="center"/>
    </xf>
    <xf numFmtId="0" fontId="39" fillId="0" borderId="0" xfId="8" applyAlignment="1" applyProtection="1">
      <alignment vertical="top"/>
      <protection hidden="1"/>
    </xf>
    <xf numFmtId="0" fontId="0" fillId="0" borderId="0" xfId="0" applyAlignment="1">
      <alignment horizontal="left"/>
    </xf>
    <xf numFmtId="0" fontId="0" fillId="0" borderId="0" xfId="0" applyAlignment="1">
      <alignment vertical="top"/>
    </xf>
    <xf numFmtId="174" fontId="0" fillId="0" borderId="0" xfId="0" applyNumberFormat="1" applyAlignment="1">
      <alignment vertical="center"/>
    </xf>
    <xf numFmtId="3" fontId="50" fillId="11" borderId="0" xfId="2" applyNumberFormat="1" applyFont="1" applyFill="1" applyBorder="1" applyAlignment="1" applyProtection="1">
      <alignment horizontal="center"/>
      <protection locked="0"/>
    </xf>
    <xf numFmtId="3" fontId="31" fillId="0" borderId="0" xfId="4" applyNumberFormat="1" applyFont="1" applyFill="1" applyBorder="1" applyAlignment="1" applyProtection="1">
      <alignment horizontal="right"/>
    </xf>
    <xf numFmtId="3" fontId="50" fillId="11" borderId="122" xfId="2" applyNumberFormat="1" applyFont="1" applyFill="1" applyBorder="1" applyAlignment="1" applyProtection="1">
      <alignment horizontal="right"/>
      <protection locked="0"/>
    </xf>
    <xf numFmtId="3" fontId="50" fillId="11" borderId="0" xfId="2" applyNumberFormat="1" applyFont="1" applyFill="1" applyBorder="1" applyAlignment="1" applyProtection="1">
      <alignment horizontal="right"/>
      <protection locked="0"/>
    </xf>
    <xf numFmtId="3" fontId="50" fillId="11" borderId="111" xfId="2" applyNumberFormat="1" applyFont="1" applyFill="1" applyBorder="1" applyAlignment="1" applyProtection="1">
      <alignment horizontal="center"/>
      <protection locked="0"/>
    </xf>
    <xf numFmtId="0" fontId="26" fillId="7" borderId="0" xfId="0" applyFont="1" applyFill="1" applyAlignment="1">
      <alignment horizontal="center"/>
    </xf>
    <xf numFmtId="3" fontId="50" fillId="11" borderId="111" xfId="2" applyNumberFormat="1" applyFont="1" applyFill="1" applyBorder="1" applyAlignment="1" applyProtection="1">
      <protection locked="0"/>
    </xf>
    <xf numFmtId="3" fontId="31" fillId="0" borderId="111" xfId="4" applyNumberFormat="1" applyFont="1" applyFill="1" applyBorder="1" applyAlignment="1" applyProtection="1">
      <alignment horizontal="right"/>
    </xf>
    <xf numFmtId="4" fontId="50" fillId="11" borderId="124" xfId="2" applyNumberFormat="1" applyFont="1" applyFill="1" applyBorder="1" applyAlignment="1" applyProtection="1">
      <protection locked="0"/>
    </xf>
    <xf numFmtId="4" fontId="31" fillId="0" borderId="12" xfId="4" applyNumberFormat="1" applyFont="1" applyFill="1" applyBorder="1" applyAlignment="1" applyProtection="1">
      <alignment horizontal="right"/>
    </xf>
    <xf numFmtId="0" fontId="0" fillId="0" borderId="12" xfId="0" applyBorder="1" applyAlignment="1">
      <alignment horizontal="left" wrapText="1"/>
    </xf>
    <xf numFmtId="0" fontId="0" fillId="0" borderId="144" xfId="0" applyBorder="1" applyAlignment="1">
      <alignment horizontal="left" wrapText="1"/>
    </xf>
    <xf numFmtId="0" fontId="26" fillId="7" borderId="0" xfId="2" applyFont="1" applyFill="1" applyBorder="1" applyAlignment="1" applyProtection="1">
      <alignment horizontal="center"/>
    </xf>
    <xf numFmtId="0" fontId="26" fillId="7" borderId="135" xfId="2" applyFont="1" applyFill="1" applyBorder="1" applyAlignment="1" applyProtection="1">
      <alignment horizontal="center"/>
    </xf>
    <xf numFmtId="0" fontId="22" fillId="0" borderId="0" xfId="0" applyFont="1" applyAlignment="1">
      <alignment horizontal="center"/>
    </xf>
    <xf numFmtId="0" fontId="54" fillId="6" borderId="37" xfId="0" applyFont="1" applyFill="1" applyBorder="1" applyAlignment="1">
      <alignment horizontal="center"/>
    </xf>
    <xf numFmtId="0" fontId="54" fillId="6" borderId="38" xfId="0" applyFont="1" applyFill="1" applyBorder="1" applyAlignment="1">
      <alignment horizontal="center"/>
    </xf>
    <xf numFmtId="0" fontId="54" fillId="6" borderId="39" xfId="0" applyFont="1" applyFill="1" applyBorder="1" applyAlignment="1">
      <alignment horizontal="center"/>
    </xf>
    <xf numFmtId="0" fontId="31" fillId="17" borderId="117" xfId="5" applyFont="1" applyFill="1" applyBorder="1" applyAlignment="1" applyProtection="1">
      <alignment horizontal="left" vertical="center" indent="1"/>
      <protection locked="0"/>
    </xf>
    <xf numFmtId="0" fontId="31" fillId="17" borderId="118" xfId="5" applyFont="1" applyFill="1" applyBorder="1" applyAlignment="1" applyProtection="1">
      <alignment horizontal="left" vertical="center" indent="1"/>
      <protection locked="0"/>
    </xf>
    <xf numFmtId="14" fontId="31" fillId="17" borderId="113" xfId="6" applyNumberFormat="1" applyFont="1" applyFill="1" applyBorder="1" applyAlignment="1" applyProtection="1">
      <alignment horizontal="left" vertical="center" indent="1"/>
      <protection locked="0"/>
    </xf>
    <xf numFmtId="14" fontId="31" fillId="17" borderId="114" xfId="6" applyNumberFormat="1" applyFont="1" applyFill="1" applyBorder="1" applyAlignment="1" applyProtection="1">
      <alignment horizontal="left" vertical="center" indent="1"/>
      <protection locked="0"/>
    </xf>
    <xf numFmtId="174" fontId="31" fillId="17" borderId="113" xfId="6" applyNumberFormat="1" applyFont="1" applyFill="1" applyBorder="1" applyAlignment="1" applyProtection="1">
      <alignment horizontal="left" vertical="center" indent="1"/>
      <protection locked="0"/>
    </xf>
    <xf numFmtId="0" fontId="47" fillId="0" borderId="132" xfId="0" applyFont="1" applyBorder="1" applyAlignment="1">
      <alignment horizontal="center"/>
    </xf>
    <xf numFmtId="0" fontId="47" fillId="0" borderId="131" xfId="0" applyFont="1" applyBorder="1" applyAlignment="1">
      <alignment horizontal="center"/>
    </xf>
    <xf numFmtId="0" fontId="0" fillId="0" borderId="113" xfId="0" applyBorder="1" applyAlignment="1">
      <alignment horizontal="left" vertical="center" indent="1"/>
    </xf>
    <xf numFmtId="0" fontId="47" fillId="0" borderId="0" xfId="0" applyFont="1" applyAlignment="1">
      <alignment horizontal="center"/>
    </xf>
    <xf numFmtId="0" fontId="0" fillId="0" borderId="116" xfId="0" applyBorder="1" applyAlignment="1">
      <alignment vertical="center"/>
    </xf>
    <xf numFmtId="0" fontId="0" fillId="0" borderId="117" xfId="0" applyBorder="1" applyAlignment="1">
      <alignment vertical="center"/>
    </xf>
    <xf numFmtId="3" fontId="50" fillId="11" borderId="115" xfId="2" applyNumberFormat="1" applyFont="1" applyFill="1" applyBorder="1" applyAlignment="1" applyProtection="1">
      <alignment horizontal="center"/>
      <protection locked="0"/>
    </xf>
    <xf numFmtId="0" fontId="47" fillId="0" borderId="142" xfId="0" applyFont="1" applyBorder="1" applyAlignment="1">
      <alignment horizontal="center"/>
    </xf>
    <xf numFmtId="3" fontId="50" fillId="11" borderId="115" xfId="2" applyNumberFormat="1" applyFont="1" applyFill="1" applyBorder="1" applyAlignment="1" applyProtection="1">
      <alignment horizontal="right"/>
      <protection locked="0"/>
    </xf>
    <xf numFmtId="3" fontId="50" fillId="11" borderId="111" xfId="2" applyNumberFormat="1" applyFont="1" applyFill="1" applyBorder="1" applyAlignment="1" applyProtection="1">
      <alignment horizontal="right"/>
      <protection locked="0"/>
    </xf>
    <xf numFmtId="174" fontId="22" fillId="11" borderId="120" xfId="0" applyNumberFormat="1" applyFont="1" applyFill="1" applyBorder="1" applyAlignment="1" applyProtection="1">
      <alignment horizontal="center"/>
      <protection locked="0"/>
    </xf>
    <xf numFmtId="174" fontId="22" fillId="11" borderId="121" xfId="0" applyNumberFormat="1" applyFont="1" applyFill="1" applyBorder="1" applyAlignment="1" applyProtection="1">
      <alignment horizontal="center"/>
      <protection locked="0"/>
    </xf>
    <xf numFmtId="174" fontId="0" fillId="0" borderId="0" xfId="0" applyNumberFormat="1" applyAlignment="1">
      <alignment horizontal="left" vertical="center"/>
    </xf>
    <xf numFmtId="174" fontId="22" fillId="11" borderId="117" xfId="0" applyNumberFormat="1" applyFont="1" applyFill="1" applyBorder="1" applyAlignment="1" applyProtection="1">
      <alignment horizontal="center"/>
      <protection locked="0"/>
    </xf>
    <xf numFmtId="174" fontId="22" fillId="11" borderId="118" xfId="0" applyNumberFormat="1" applyFont="1" applyFill="1" applyBorder="1" applyAlignment="1" applyProtection="1">
      <alignment horizontal="center"/>
      <protection locked="0"/>
    </xf>
    <xf numFmtId="0" fontId="0" fillId="6" borderId="33" xfId="0" applyFill="1" applyBorder="1" applyAlignment="1">
      <alignment horizontal="center" vertical="top"/>
    </xf>
    <xf numFmtId="0" fontId="0" fillId="6" borderId="68" xfId="0" applyFill="1" applyBorder="1" applyAlignment="1">
      <alignment horizontal="center" vertical="top"/>
    </xf>
    <xf numFmtId="0" fontId="0" fillId="6" borderId="54" xfId="0" applyFill="1" applyBorder="1" applyAlignment="1">
      <alignment horizontal="center" vertical="top"/>
    </xf>
    <xf numFmtId="0" fontId="0" fillId="6" borderId="34" xfId="0" applyFill="1" applyBorder="1" applyAlignment="1">
      <alignment horizontal="center" vertical="top"/>
    </xf>
    <xf numFmtId="3" fontId="50" fillId="11" borderId="122" xfId="2" applyNumberFormat="1" applyFont="1" applyFill="1" applyBorder="1" applyAlignment="1" applyProtection="1">
      <alignment horizontal="right" wrapText="1"/>
      <protection locked="0"/>
    </xf>
    <xf numFmtId="3" fontId="31" fillId="0" borderId="0" xfId="4" applyNumberFormat="1" applyFont="1" applyFill="1" applyBorder="1" applyAlignment="1" applyProtection="1">
      <alignment horizontal="right" wrapText="1"/>
    </xf>
    <xf numFmtId="3" fontId="50" fillId="11" borderId="122" xfId="2" applyNumberFormat="1" applyFont="1" applyFill="1" applyBorder="1" applyAlignment="1" applyProtection="1">
      <alignment horizontal="center"/>
      <protection locked="0"/>
    </xf>
    <xf numFmtId="0" fontId="47" fillId="0" borderId="0" xfId="0" applyFont="1" applyAlignment="1">
      <alignment horizontal="left" wrapText="1"/>
    </xf>
    <xf numFmtId="3" fontId="50" fillId="11" borderId="122" xfId="2" applyNumberFormat="1" applyFont="1" applyFill="1" applyBorder="1" applyAlignment="1" applyProtection="1">
      <alignment horizontal="center" wrapText="1"/>
      <protection locked="0"/>
    </xf>
    <xf numFmtId="0" fontId="0" fillId="0" borderId="112" xfId="0" applyBorder="1" applyAlignment="1">
      <alignment vertical="center"/>
    </xf>
    <xf numFmtId="0" fontId="0" fillId="0" borderId="113" xfId="0" applyBorder="1" applyAlignment="1">
      <alignment vertical="center"/>
    </xf>
    <xf numFmtId="174" fontId="31" fillId="17" borderId="117" xfId="6" applyNumberFormat="1" applyFont="1" applyFill="1" applyBorder="1" applyAlignment="1" applyProtection="1">
      <alignment horizontal="left" vertical="center" indent="1"/>
      <protection locked="0"/>
    </xf>
    <xf numFmtId="0" fontId="47" fillId="0" borderId="140" xfId="0" applyFont="1" applyBorder="1" applyAlignment="1">
      <alignment horizontal="center"/>
    </xf>
    <xf numFmtId="0" fontId="47" fillId="0" borderId="124" xfId="0" applyFont="1" applyBorder="1" applyAlignment="1">
      <alignment horizontal="center"/>
    </xf>
    <xf numFmtId="0" fontId="47" fillId="0" borderId="143" xfId="0" applyFont="1" applyBorder="1" applyAlignment="1">
      <alignment horizontal="center"/>
    </xf>
    <xf numFmtId="0" fontId="47" fillId="0" borderId="141" xfId="0" applyFont="1" applyBorder="1" applyAlignment="1">
      <alignment horizontal="center"/>
    </xf>
    <xf numFmtId="0" fontId="47" fillId="0" borderId="18" xfId="0" applyFont="1" applyBorder="1" applyAlignment="1">
      <alignment horizontal="center"/>
    </xf>
    <xf numFmtId="0" fontId="47" fillId="0" borderId="122" xfId="0" applyFont="1" applyBorder="1" applyAlignment="1">
      <alignment horizontal="center"/>
    </xf>
    <xf numFmtId="0" fontId="47" fillId="0" borderId="129" xfId="0" applyFont="1" applyBorder="1" applyAlignment="1">
      <alignment horizontal="center"/>
    </xf>
    <xf numFmtId="0" fontId="31" fillId="11" borderId="113" xfId="6" applyFont="1" applyFill="1" applyBorder="1" applyAlignment="1" applyProtection="1">
      <alignment horizontal="left" vertical="center" indent="1"/>
      <protection locked="0"/>
    </xf>
    <xf numFmtId="0" fontId="31" fillId="11" borderId="114" xfId="6" applyFont="1" applyFill="1" applyBorder="1" applyAlignment="1" applyProtection="1">
      <alignment horizontal="left" vertical="center" indent="1"/>
      <protection locked="0"/>
    </xf>
    <xf numFmtId="3" fontId="31" fillId="11" borderId="113" xfId="6" applyNumberFormat="1" applyFont="1" applyFill="1" applyBorder="1" applyAlignment="1" applyProtection="1">
      <alignment horizontal="right" vertical="center" indent="1"/>
      <protection locked="0"/>
    </xf>
    <xf numFmtId="0" fontId="39" fillId="0" borderId="115" xfId="8" applyNumberFormat="1" applyFill="1" applyBorder="1" applyAlignment="1">
      <alignment vertical="top"/>
    </xf>
    <xf numFmtId="0" fontId="39" fillId="0" borderId="115" xfId="8" applyNumberFormat="1" applyFill="1" applyBorder="1" applyAlignment="1">
      <alignment vertical="center"/>
    </xf>
    <xf numFmtId="0" fontId="39" fillId="0" borderId="0" xfId="8" applyNumberFormat="1" applyFill="1" applyBorder="1" applyAlignment="1">
      <alignment vertical="center"/>
    </xf>
    <xf numFmtId="0" fontId="47" fillId="0" borderId="1" xfId="0" applyFont="1" applyBorder="1"/>
    <xf numFmtId="0" fontId="47" fillId="0" borderId="87" xfId="0" applyFont="1" applyBorder="1"/>
    <xf numFmtId="0" fontId="0" fillId="0" borderId="117" xfId="0" applyBorder="1" applyAlignment="1">
      <alignment horizontal="left" vertical="center" indent="1"/>
    </xf>
    <xf numFmtId="0" fontId="47" fillId="0" borderId="130" xfId="0" applyFont="1" applyBorder="1" applyAlignment="1">
      <alignment horizontal="center"/>
    </xf>
    <xf numFmtId="0" fontId="47" fillId="0" borderId="95" xfId="0" applyFont="1" applyBorder="1" applyAlignment="1">
      <alignment horizontal="center"/>
    </xf>
    <xf numFmtId="0" fontId="47" fillId="0" borderId="96" xfId="0" applyFont="1" applyBorder="1" applyAlignment="1">
      <alignment horizontal="center"/>
    </xf>
    <xf numFmtId="0" fontId="39" fillId="0" borderId="0" xfId="8" applyBorder="1"/>
    <xf numFmtId="0" fontId="12" fillId="0" borderId="0" xfId="0" applyFont="1" applyAlignment="1">
      <alignment horizontal="left"/>
    </xf>
    <xf numFmtId="0" fontId="47" fillId="0" borderId="88" xfId="0" applyFont="1" applyBorder="1" applyAlignment="1">
      <alignment horizontal="center"/>
    </xf>
    <xf numFmtId="0" fontId="47" fillId="0" borderId="89" xfId="0" applyFont="1" applyBorder="1" applyAlignment="1">
      <alignment horizontal="center"/>
    </xf>
    <xf numFmtId="0" fontId="39" fillId="0" borderId="0" xfId="8" applyBorder="1" applyAlignment="1">
      <alignment vertical="top"/>
    </xf>
    <xf numFmtId="0" fontId="0" fillId="0" borderId="108" xfId="0" applyBorder="1" applyAlignment="1">
      <alignment horizontal="left"/>
    </xf>
    <xf numFmtId="0" fontId="0" fillId="0" borderId="22" xfId="0" applyBorder="1" applyAlignment="1">
      <alignment horizontal="left"/>
    </xf>
    <xf numFmtId="0" fontId="0" fillId="0" borderId="10" xfId="0" applyBorder="1" applyAlignment="1">
      <alignment horizontal="left"/>
    </xf>
    <xf numFmtId="0" fontId="0" fillId="0" borderId="4" xfId="0" applyBorder="1" applyAlignment="1">
      <alignment horizontal="left"/>
    </xf>
    <xf numFmtId="0" fontId="0" fillId="0" borderId="101" xfId="0" applyBorder="1" applyAlignment="1">
      <alignment horizontal="left"/>
    </xf>
    <xf numFmtId="0" fontId="0" fillId="0" borderId="94" xfId="0" applyBorder="1" applyAlignment="1">
      <alignment horizontal="left"/>
    </xf>
    <xf numFmtId="0" fontId="47" fillId="0" borderId="97" xfId="0" applyFont="1" applyBorder="1" applyAlignment="1">
      <alignment horizontal="center"/>
    </xf>
    <xf numFmtId="0" fontId="47" fillId="0" borderId="98" xfId="0" applyFont="1" applyBorder="1" applyAlignment="1">
      <alignment horizontal="center"/>
    </xf>
    <xf numFmtId="0" fontId="31" fillId="0" borderId="27" xfId="6" applyFont="1" applyFill="1" applyBorder="1" applyAlignment="1" applyProtection="1">
      <alignment horizontal="left"/>
    </xf>
    <xf numFmtId="0" fontId="31" fillId="0" borderId="0" xfId="6" applyFont="1" applyFill="1" applyBorder="1" applyAlignment="1" applyProtection="1">
      <alignment horizontal="left"/>
    </xf>
    <xf numFmtId="0" fontId="31" fillId="0" borderId="15" xfId="6" applyFont="1" applyFill="1" applyBorder="1" applyAlignment="1" applyProtection="1">
      <alignment horizontal="left"/>
    </xf>
    <xf numFmtId="0" fontId="31" fillId="0" borderId="18" xfId="6" applyFont="1" applyFill="1" applyBorder="1" applyAlignment="1" applyProtection="1">
      <alignment horizontal="left"/>
    </xf>
    <xf numFmtId="1" fontId="48" fillId="0" borderId="74" xfId="0" applyNumberFormat="1" applyFont="1" applyBorder="1" applyAlignment="1">
      <alignment vertical="center" wrapText="1"/>
    </xf>
    <xf numFmtId="0" fontId="0" fillId="0" borderId="88" xfId="0" applyBorder="1" applyAlignment="1">
      <alignment horizontal="center"/>
    </xf>
    <xf numFmtId="0" fontId="0" fillId="0" borderId="89" xfId="0" applyBorder="1" applyAlignment="1">
      <alignment horizontal="center"/>
    </xf>
    <xf numFmtId="0" fontId="0" fillId="0" borderId="97" xfId="0" applyBorder="1" applyAlignment="1">
      <alignment horizontal="center"/>
    </xf>
    <xf numFmtId="0" fontId="0" fillId="0" borderId="98" xfId="0" applyBorder="1" applyAlignment="1">
      <alignment horizontal="center"/>
    </xf>
    <xf numFmtId="0" fontId="0" fillId="0" borderId="2" xfId="0" applyBorder="1" applyAlignment="1">
      <alignment horizontal="center"/>
    </xf>
    <xf numFmtId="0" fontId="47" fillId="0" borderId="146" xfId="0" applyFont="1" applyBorder="1" applyAlignment="1">
      <alignment horizontal="center"/>
    </xf>
    <xf numFmtId="0" fontId="47" fillId="0" borderId="147" xfId="0" applyFont="1" applyBorder="1" applyAlignment="1">
      <alignment horizontal="center"/>
    </xf>
    <xf numFmtId="0" fontId="0" fillId="0" borderId="74" xfId="0" applyBorder="1" applyAlignment="1">
      <alignment horizontal="center"/>
    </xf>
    <xf numFmtId="0" fontId="0" fillId="0" borderId="0" xfId="0" applyAlignment="1">
      <alignment horizontal="center"/>
    </xf>
    <xf numFmtId="0" fontId="31" fillId="0" borderId="108" xfId="0" applyFont="1" applyBorder="1" applyAlignment="1">
      <alignment horizontal="left"/>
    </xf>
    <xf numFmtId="0" fontId="31" fillId="0" borderId="22" xfId="0" applyFont="1" applyBorder="1" applyAlignment="1">
      <alignment horizontal="left"/>
    </xf>
    <xf numFmtId="0" fontId="31" fillId="0" borderId="10" xfId="0" applyFont="1" applyBorder="1" applyAlignment="1">
      <alignment horizontal="left"/>
    </xf>
    <xf numFmtId="0" fontId="31" fillId="0" borderId="4" xfId="0" applyFont="1" applyBorder="1" applyAlignment="1">
      <alignment horizontal="left"/>
    </xf>
    <xf numFmtId="0" fontId="0" fillId="0" borderId="18" xfId="0" applyBorder="1" applyAlignment="1">
      <alignment horizontal="left"/>
    </xf>
    <xf numFmtId="0" fontId="0" fillId="10" borderId="15" xfId="0" applyFill="1" applyBorder="1" applyAlignment="1" applyProtection="1">
      <alignment horizontal="left"/>
      <protection locked="0"/>
    </xf>
    <xf numFmtId="0" fontId="0" fillId="10" borderId="10" xfId="0" applyFill="1" applyBorder="1" applyAlignment="1" applyProtection="1">
      <alignment horizontal="left"/>
      <protection locked="0"/>
    </xf>
    <xf numFmtId="0" fontId="39" fillId="0" borderId="0" xfId="8" applyBorder="1" applyAlignment="1">
      <alignment horizontal="left" vertical="top"/>
    </xf>
    <xf numFmtId="0" fontId="31" fillId="0" borderId="80" xfId="6" applyFont="1" applyFill="1" applyBorder="1" applyAlignment="1" applyProtection="1">
      <alignment horizontal="left"/>
    </xf>
    <xf numFmtId="0" fontId="31" fillId="0" borderId="12" xfId="6" applyFont="1" applyFill="1" applyBorder="1" applyAlignment="1" applyProtection="1">
      <alignment horizontal="left"/>
    </xf>
    <xf numFmtId="0" fontId="0" fillId="11" borderId="22" xfId="0" applyFill="1" applyBorder="1" applyAlignment="1" applyProtection="1">
      <alignment horizontal="left"/>
      <protection locked="0"/>
    </xf>
    <xf numFmtId="0" fontId="0" fillId="0" borderId="24" xfId="0" applyBorder="1" applyAlignment="1">
      <alignment horizontal="center" wrapText="1"/>
    </xf>
    <xf numFmtId="0" fontId="0" fillId="10" borderId="22" xfId="0" applyFill="1" applyBorder="1" applyAlignment="1" applyProtection="1">
      <alignment horizontal="left"/>
      <protection locked="0"/>
    </xf>
    <xf numFmtId="0" fontId="54" fillId="0" borderId="0" xfId="0" applyFont="1" applyAlignment="1">
      <alignment horizontal="center"/>
    </xf>
    <xf numFmtId="0" fontId="0" fillId="0" borderId="0" xfId="0" applyAlignment="1">
      <alignment horizontal="left" vertical="top" wrapText="1"/>
    </xf>
    <xf numFmtId="0" fontId="39" fillId="0" borderId="150" xfId="8" applyBorder="1" applyAlignment="1">
      <alignment horizontal="left" vertical="top"/>
    </xf>
    <xf numFmtId="0" fontId="19" fillId="0" borderId="30" xfId="0" applyFont="1" applyBorder="1" applyAlignment="1">
      <alignment horizontal="center" textRotation="90"/>
    </xf>
    <xf numFmtId="0" fontId="19" fillId="0" borderId="92" xfId="0" applyFont="1" applyBorder="1" applyAlignment="1">
      <alignment horizontal="center" textRotation="90"/>
    </xf>
    <xf numFmtId="171" fontId="19" fillId="0" borderId="1" xfId="0" applyNumberFormat="1" applyFont="1" applyBorder="1" applyAlignment="1">
      <alignment horizontal="center" wrapText="1"/>
    </xf>
    <xf numFmtId="171" fontId="19" fillId="0" borderId="0" xfId="0" applyNumberFormat="1" applyFont="1" applyAlignment="1">
      <alignment horizontal="center" wrapText="1"/>
    </xf>
    <xf numFmtId="0" fontId="0" fillId="7" borderId="0" xfId="0" applyFill="1" applyAlignment="1" applyProtection="1">
      <alignment horizontal="left" vertical="top" wrapText="1"/>
      <protection locked="0"/>
    </xf>
    <xf numFmtId="0" fontId="0" fillId="7" borderId="0" xfId="0" applyFill="1" applyAlignment="1" applyProtection="1">
      <alignment horizontal="left" vertical="top"/>
      <protection locked="0"/>
    </xf>
    <xf numFmtId="0" fontId="0" fillId="0" borderId="79" xfId="0" applyBorder="1" applyAlignment="1">
      <alignment horizontal="center"/>
    </xf>
    <xf numFmtId="0" fontId="0" fillId="0" borderId="77" xfId="0" applyBorder="1" applyAlignment="1">
      <alignment horizontal="center"/>
    </xf>
    <xf numFmtId="0" fontId="0" fillId="7" borderId="0" xfId="0" applyFill="1" applyAlignment="1" applyProtection="1">
      <alignment horizontal="left"/>
      <protection locked="0"/>
    </xf>
  </cellXfs>
  <cellStyles count="11">
    <cellStyle name="Ausgabe" xfId="3" builtinId="21"/>
    <cellStyle name="Berechnung" xfId="4" builtinId="22"/>
    <cellStyle name="Eingabe" xfId="2" builtinId="20"/>
    <cellStyle name="Gut" xfId="5" builtinId="26"/>
    <cellStyle name="Link" xfId="7" builtinId="8" customBuiltin="1"/>
    <cellStyle name="Schlecht" xfId="6" builtinId="27"/>
    <cellStyle name="Standard" xfId="0" builtinId="0" customBuiltin="1"/>
    <cellStyle name="Standard 2" xfId="1" xr:uid="{00000000-0005-0000-0000-000007000000}"/>
    <cellStyle name="Überschrift" xfId="8" builtinId="15" customBuiltin="1"/>
    <cellStyle name="Überschrift 1" xfId="9" builtinId="16" customBuiltin="1"/>
    <cellStyle name="Überschrift 2" xfId="10" builtinId="17" customBuiltin="1"/>
  </cellStyles>
  <dxfs count="53">
    <dxf>
      <font>
        <color rgb="FFFF0000"/>
      </font>
    </dxf>
    <dxf>
      <font>
        <color rgb="FFFF0000"/>
      </font>
    </dxf>
    <dxf>
      <font>
        <color rgb="FFFF0000"/>
      </font>
    </dxf>
    <dxf>
      <font>
        <color auto="1"/>
      </font>
      <fill>
        <patternFill>
          <bgColor rgb="FFFFFF99"/>
        </patternFill>
      </fill>
    </dxf>
    <dxf>
      <font>
        <color auto="1"/>
      </font>
      <fill>
        <patternFill>
          <bgColor theme="9" tint="0.39994506668294322"/>
        </patternFill>
      </fill>
    </dxf>
    <dxf>
      <fill>
        <patternFill>
          <bgColor theme="9" tint="0.39994506668294322"/>
        </patternFill>
      </fill>
    </dxf>
    <dxf>
      <font>
        <color auto="1"/>
      </font>
    </dxf>
    <dxf>
      <font>
        <color theme="1"/>
      </font>
      <fill>
        <patternFill patternType="none">
          <fgColor indexed="64"/>
          <bgColor auto="1"/>
        </patternFill>
      </fill>
    </dxf>
    <dxf>
      <font>
        <color rgb="FFFF0000"/>
      </font>
    </dxf>
    <dxf>
      <font>
        <color rgb="FFFF0000"/>
      </font>
    </dxf>
    <dxf>
      <font>
        <color rgb="FFFF0000"/>
      </font>
    </dxf>
    <dxf>
      <font>
        <color auto="1"/>
      </font>
      <fill>
        <patternFill>
          <bgColor rgb="FFFFFF99"/>
        </patternFill>
      </fill>
    </dxf>
    <dxf>
      <font>
        <color auto="1"/>
      </font>
      <fill>
        <patternFill>
          <bgColor theme="9" tint="0.39994506668294322"/>
        </patternFill>
      </fill>
    </dxf>
    <dxf>
      <fill>
        <patternFill>
          <bgColor theme="9" tint="0.39994506668294322"/>
        </patternFill>
      </fill>
    </dxf>
    <dxf>
      <font>
        <color auto="1"/>
      </font>
    </dxf>
    <dxf>
      <font>
        <color theme="1"/>
      </font>
      <fill>
        <patternFill patternType="none">
          <fgColor indexed="64"/>
          <bgColor auto="1"/>
        </patternFill>
      </fill>
    </dxf>
    <dxf>
      <font>
        <color rgb="FFFF0000"/>
      </font>
    </dxf>
    <dxf>
      <font>
        <color rgb="FFFF0000"/>
      </font>
    </dxf>
    <dxf>
      <font>
        <color rgb="FFFF0000"/>
      </font>
    </dxf>
    <dxf>
      <font>
        <color auto="1"/>
      </font>
      <fill>
        <patternFill>
          <bgColor rgb="FFFFFF99"/>
        </patternFill>
      </fill>
    </dxf>
    <dxf>
      <font>
        <color auto="1"/>
      </font>
      <fill>
        <patternFill>
          <bgColor theme="9" tint="0.39994506668294322"/>
        </patternFill>
      </fill>
    </dxf>
    <dxf>
      <fill>
        <patternFill>
          <bgColor theme="9" tint="0.39994506668294322"/>
        </patternFill>
      </fill>
    </dxf>
    <dxf>
      <font>
        <color auto="1"/>
      </font>
    </dxf>
    <dxf>
      <font>
        <color theme="1"/>
      </font>
      <fill>
        <patternFill patternType="none">
          <fgColor indexed="64"/>
          <bgColor auto="1"/>
        </patternFill>
      </fill>
    </dxf>
    <dxf>
      <font>
        <color rgb="FFFF0000"/>
      </font>
    </dxf>
    <dxf>
      <font>
        <color rgb="FFFF0000"/>
      </font>
    </dxf>
    <dxf>
      <font>
        <color rgb="FFFF0000"/>
      </font>
    </dxf>
    <dxf>
      <font>
        <color auto="1"/>
      </font>
      <fill>
        <patternFill>
          <bgColor rgb="FFFFFF99"/>
        </patternFill>
      </fill>
    </dxf>
    <dxf>
      <font>
        <color auto="1"/>
      </font>
      <fill>
        <patternFill>
          <bgColor theme="9" tint="0.39994506668294322"/>
        </patternFill>
      </fill>
    </dxf>
    <dxf>
      <fill>
        <patternFill>
          <bgColor theme="9" tint="0.39994506668294322"/>
        </patternFill>
      </fill>
    </dxf>
    <dxf>
      <font>
        <color auto="1"/>
      </font>
    </dxf>
    <dxf>
      <font>
        <color theme="1"/>
      </font>
      <fill>
        <patternFill patternType="none">
          <fgColor indexed="64"/>
          <bgColor auto="1"/>
        </patternFill>
      </fill>
    </dxf>
    <dxf>
      <font>
        <color rgb="FFFF0000"/>
      </font>
    </dxf>
    <dxf>
      <font>
        <color rgb="FFFF0000"/>
      </font>
    </dxf>
    <dxf>
      <font>
        <color rgb="FFFF0000"/>
      </font>
    </dxf>
    <dxf>
      <font>
        <color auto="1"/>
      </font>
      <fill>
        <patternFill>
          <bgColor rgb="FFFFFF99"/>
        </patternFill>
      </fill>
    </dxf>
    <dxf>
      <font>
        <color auto="1"/>
      </font>
      <fill>
        <patternFill>
          <bgColor theme="9" tint="0.39994506668294322"/>
        </patternFill>
      </fill>
    </dxf>
    <dxf>
      <fill>
        <patternFill>
          <bgColor theme="9" tint="0.39994506668294322"/>
        </patternFill>
      </fill>
    </dxf>
    <dxf>
      <font>
        <color auto="1"/>
      </font>
    </dxf>
    <dxf>
      <font>
        <color theme="1"/>
      </font>
      <fill>
        <patternFill patternType="none">
          <fgColor indexed="64"/>
          <bgColor auto="1"/>
        </patternFill>
      </fill>
    </dxf>
    <dxf>
      <font>
        <color rgb="FFFF0000"/>
      </font>
    </dxf>
    <dxf>
      <font>
        <color rgb="FFFF0000"/>
      </font>
    </dxf>
    <dxf>
      <font>
        <color rgb="FFFF0000"/>
      </font>
    </dxf>
    <dxf>
      <font>
        <color auto="1"/>
      </font>
      <fill>
        <patternFill>
          <bgColor rgb="FFFFFF99"/>
        </patternFill>
      </fill>
    </dxf>
    <dxf>
      <font>
        <color auto="1"/>
      </font>
      <fill>
        <patternFill>
          <bgColor theme="9" tint="0.39994506668294322"/>
        </patternFill>
      </fill>
    </dxf>
    <dxf>
      <fill>
        <patternFill>
          <bgColor theme="9" tint="0.39994506668294322"/>
        </patternFill>
      </fill>
    </dxf>
    <dxf>
      <font>
        <color auto="1"/>
      </font>
    </dxf>
    <dxf>
      <font>
        <color theme="1"/>
      </font>
      <fill>
        <patternFill patternType="none">
          <fgColor indexed="64"/>
          <bgColor auto="1"/>
        </patternFill>
      </fill>
    </dxf>
    <dxf>
      <font>
        <color theme="0"/>
      </font>
    </dxf>
    <dxf>
      <font>
        <color theme="0"/>
      </font>
    </dxf>
    <dxf>
      <font>
        <color theme="0"/>
      </font>
    </dxf>
    <dxf>
      <fill>
        <patternFill>
          <bgColor theme="9" tint="0.39994506668294322"/>
        </patternFill>
      </fill>
    </dxf>
    <dxf>
      <fill>
        <patternFill>
          <bgColor theme="9" tint="0.39994506668294322"/>
        </patternFill>
      </fill>
    </dxf>
  </dxfs>
  <tableStyles count="0" defaultTableStyle="TableStyleMedium2" defaultPivotStyle="PivotStyleLight16"/>
  <colors>
    <mruColors>
      <color rgb="FFFFCCFF"/>
      <color rgb="FFFFFF99"/>
      <color rgb="FFFEC4BE"/>
      <color rgb="FFFD7D6F"/>
      <color rgb="FFFFFF66"/>
      <color rgb="FFF2F2F2"/>
      <color rgb="FFFFFFCC"/>
      <color rgb="FF068FBA"/>
      <color rgb="FFF5750B"/>
      <color rgb="FFF8800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 Id="rId27"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13730618590135"/>
          <c:y val="8.0291444968167092E-2"/>
          <c:w val="0.81340932933658427"/>
          <c:h val="0.79121952068124946"/>
        </c:manualLayout>
      </c:layout>
      <c:barChart>
        <c:barDir val="col"/>
        <c:grouping val="clustered"/>
        <c:varyColors val="0"/>
        <c:ser>
          <c:idx val="0"/>
          <c:order val="0"/>
          <c:tx>
            <c:strRef>
              <c:f>'Wirtschaftlichkeit_g.Min.'!$P$3</c:f>
              <c:strCache>
                <c:ptCount val="1"/>
                <c:pt idx="0">
                  <c:v>Kapital neg Entwicklung [CHF]</c:v>
                </c:pt>
              </c:strCache>
            </c:strRef>
          </c:tx>
          <c:spPr>
            <a:solidFill>
              <a:schemeClr val="accent2"/>
            </a:solidFill>
            <a:ln>
              <a:noFill/>
            </a:ln>
            <a:effectLst/>
          </c:spPr>
          <c:invertIfNegative val="0"/>
          <c:cat>
            <c:numRef>
              <c:f>'Wirtschaftlichkeit_g.Min.'!$B$5:$B$35</c:f>
              <c:numCache>
                <c:formatCode>General</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'Wirtschaftlichkeit_g.Min.'!$P$5:$P$35</c:f>
              <c:numCache>
                <c:formatCode>#,##0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52D0-4610-9CAF-2C02821BA62D}"/>
            </c:ext>
          </c:extLst>
        </c:ser>
        <c:ser>
          <c:idx val="1"/>
          <c:order val="1"/>
          <c:tx>
            <c:strRef>
              <c:f>'Wirtschaftlichkeit_g.Min.'!$Q$3</c:f>
              <c:strCache>
                <c:ptCount val="1"/>
                <c:pt idx="0">
                  <c:v>Kapital pos Entwicklung [CHF]</c:v>
                </c:pt>
              </c:strCache>
            </c:strRef>
          </c:tx>
          <c:spPr>
            <a:solidFill>
              <a:schemeClr val="tx2">
                <a:lumMod val="60000"/>
                <a:lumOff val="40000"/>
              </a:schemeClr>
            </a:solidFill>
            <a:ln w="25400">
              <a:noFill/>
            </a:ln>
            <a:effectLst/>
          </c:spPr>
          <c:invertIfNegative val="0"/>
          <c:cat>
            <c:numRef>
              <c:f>'Wirtschaftlichkeit_g.Min.'!$B$5:$B$35</c:f>
              <c:numCache>
                <c:formatCode>General</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'Wirtschaftlichkeit_g.Min.'!$Q$5:$Q$35</c:f>
              <c:numCache>
                <c:formatCode>#,##0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52D0-4610-9CAF-2C02821BA62D}"/>
            </c:ext>
          </c:extLst>
        </c:ser>
        <c:dLbls>
          <c:showLegendKey val="0"/>
          <c:showVal val="0"/>
          <c:showCatName val="0"/>
          <c:showSerName val="0"/>
          <c:showPercent val="0"/>
          <c:showBubbleSize val="0"/>
        </c:dLbls>
        <c:gapWidth val="150"/>
        <c:axId val="486003600"/>
        <c:axId val="486006344"/>
      </c:barChart>
      <c:catAx>
        <c:axId val="486003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86006344"/>
        <c:crosses val="autoZero"/>
        <c:auto val="1"/>
        <c:lblAlgn val="ctr"/>
        <c:lblOffset val="100"/>
        <c:noMultiLvlLbl val="0"/>
      </c:catAx>
      <c:valAx>
        <c:axId val="4860063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8600360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0779452304963"/>
          <c:y val="8.0291444968167092E-2"/>
          <c:w val="0.79034446174048389"/>
          <c:h val="0.79500929583057778"/>
        </c:manualLayout>
      </c:layout>
      <c:barChart>
        <c:barDir val="col"/>
        <c:grouping val="clustered"/>
        <c:varyColors val="0"/>
        <c:ser>
          <c:idx val="0"/>
          <c:order val="0"/>
          <c:tx>
            <c:strRef>
              <c:f>'Wirtschaftlichkeit_t.Vb.'!$P$3</c:f>
              <c:strCache>
                <c:ptCount val="1"/>
                <c:pt idx="0">
                  <c:v>Kapital neg Entwicklung [CHF]</c:v>
                </c:pt>
              </c:strCache>
            </c:strRef>
          </c:tx>
          <c:spPr>
            <a:solidFill>
              <a:schemeClr val="accent2"/>
            </a:solidFill>
            <a:ln>
              <a:noFill/>
            </a:ln>
            <a:effectLst/>
          </c:spPr>
          <c:invertIfNegative val="0"/>
          <c:cat>
            <c:numRef>
              <c:f>Wirtschaftlichkeit_t.Vb.!Wirtschaftlichkeit_Achsenbeschriftung</c:f>
              <c:numCache>
                <c:formatCode>General</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[0]!Wirtschaftlichkeit_neg_Entwicklung</c:f>
              <c:numCache>
                <c:formatCode>#,##0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27FD-4873-8758-4B390A891B52}"/>
            </c:ext>
          </c:extLst>
        </c:ser>
        <c:ser>
          <c:idx val="1"/>
          <c:order val="1"/>
          <c:tx>
            <c:strRef>
              <c:f>'Wirtschaftlichkeit_t.Vb.'!$Q$3</c:f>
              <c:strCache>
                <c:ptCount val="1"/>
                <c:pt idx="0">
                  <c:v>Kapital pos Entwicklung [CHF]</c:v>
                </c:pt>
              </c:strCache>
            </c:strRef>
          </c:tx>
          <c:spPr>
            <a:solidFill>
              <a:schemeClr val="tx2">
                <a:lumMod val="60000"/>
                <a:lumOff val="40000"/>
              </a:schemeClr>
            </a:solidFill>
            <a:ln w="25400">
              <a:noFill/>
            </a:ln>
            <a:effectLst/>
          </c:spPr>
          <c:invertIfNegative val="0"/>
          <c:cat>
            <c:numRef>
              <c:f>Wirtschaftlichkeit_t.Vb.!Wirtschaftlichkeit_Achsenbeschriftung</c:f>
              <c:numCache>
                <c:formatCode>General</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[0]!Wirtschaftlichkeit_pos_Entwicklung</c:f>
              <c:numCache>
                <c:formatCode>#,##0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27FD-4873-8758-4B390A891B52}"/>
            </c:ext>
          </c:extLst>
        </c:ser>
        <c:dLbls>
          <c:showLegendKey val="0"/>
          <c:showVal val="0"/>
          <c:showCatName val="0"/>
          <c:showSerName val="0"/>
          <c:showPercent val="0"/>
          <c:showBubbleSize val="0"/>
        </c:dLbls>
        <c:gapWidth val="150"/>
        <c:axId val="486003600"/>
        <c:axId val="486006344"/>
      </c:barChart>
      <c:catAx>
        <c:axId val="486003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86006344"/>
        <c:crosses val="autoZero"/>
        <c:auto val="1"/>
        <c:lblAlgn val="ctr"/>
        <c:lblOffset val="100"/>
        <c:noMultiLvlLbl val="0"/>
      </c:catAx>
      <c:valAx>
        <c:axId val="4860063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8600360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CH"/>
              <a:t>Kapitalentwicklung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8.6767035258283429E-2"/>
          <c:y val="8.0291444968167092E-2"/>
          <c:w val="0.89200313615142912"/>
          <c:h val="0.83264507737410054"/>
        </c:manualLayout>
      </c:layout>
      <c:areaChart>
        <c:grouping val="standard"/>
        <c:varyColors val="0"/>
        <c:ser>
          <c:idx val="0"/>
          <c:order val="0"/>
          <c:tx>
            <c:strRef>
              <c:f>'Wirtschaftlichkeit_t.Vb.'!$P$3</c:f>
              <c:strCache>
                <c:ptCount val="1"/>
                <c:pt idx="0">
                  <c:v>Kapital neg Entwicklung [CHF]</c:v>
                </c:pt>
              </c:strCache>
            </c:strRef>
          </c:tx>
          <c:spPr>
            <a:solidFill>
              <a:schemeClr val="accent2"/>
            </a:solidFill>
            <a:ln>
              <a:noFill/>
            </a:ln>
            <a:effectLst/>
          </c:spPr>
          <c:cat>
            <c:numRef>
              <c:f>Wirtschaftlichkeit_t.Vb.!Wirtschaftlichkeit_Achsenbeschriftung</c:f>
              <c:numCache>
                <c:formatCode>General</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[0]!Wirtschaftlichkeit_neg_Entwicklung</c:f>
              <c:numCache>
                <c:formatCode>#,##0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7C76-45B3-A879-65720D67BEF0}"/>
            </c:ext>
          </c:extLst>
        </c:ser>
        <c:ser>
          <c:idx val="1"/>
          <c:order val="1"/>
          <c:tx>
            <c:strRef>
              <c:f>'Wirtschaftlichkeit_t.Vb.'!$Q$3</c:f>
              <c:strCache>
                <c:ptCount val="1"/>
                <c:pt idx="0">
                  <c:v>Kapital pos Entwicklung [CHF]</c:v>
                </c:pt>
              </c:strCache>
            </c:strRef>
          </c:tx>
          <c:spPr>
            <a:solidFill>
              <a:schemeClr val="tx2">
                <a:lumMod val="60000"/>
                <a:lumOff val="40000"/>
              </a:schemeClr>
            </a:solidFill>
            <a:ln w="25400">
              <a:noFill/>
            </a:ln>
            <a:effectLst/>
          </c:spPr>
          <c:cat>
            <c:numRef>
              <c:f>Wirtschaftlichkeit_t.Vb.!Wirtschaftlichkeit_Achsenbeschriftung</c:f>
              <c:numCache>
                <c:formatCode>General</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[0]!Wirtschaftlichkeit_pos_Entwicklung</c:f>
              <c:numCache>
                <c:formatCode>#,##0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7C76-45B3-A879-65720D67BEF0}"/>
            </c:ext>
          </c:extLst>
        </c:ser>
        <c:dLbls>
          <c:showLegendKey val="0"/>
          <c:showVal val="0"/>
          <c:showCatName val="0"/>
          <c:showSerName val="0"/>
          <c:showPercent val="0"/>
          <c:showBubbleSize val="0"/>
        </c:dLbls>
        <c:axId val="486003600"/>
        <c:axId val="486006344"/>
      </c:areaChart>
      <c:catAx>
        <c:axId val="48600360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CH"/>
                  <a:t>Laufzeit [Jahre]</a:t>
                </a:r>
              </a:p>
            </c:rich>
          </c:tx>
          <c:layout>
            <c:manualLayout>
              <c:xMode val="edge"/>
              <c:yMode val="edge"/>
              <c:x val="0.48641018952702469"/>
              <c:y val="0.9404046482524298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86006344"/>
        <c:crosses val="autoZero"/>
        <c:auto val="1"/>
        <c:lblAlgn val="ctr"/>
        <c:lblOffset val="100"/>
        <c:noMultiLvlLbl val="0"/>
      </c:catAx>
      <c:valAx>
        <c:axId val="4860063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CH"/>
                  <a:t>Kapitalentwicklung</a:t>
                </a:r>
                <a:r>
                  <a:rPr lang="de-CH" baseline="0"/>
                  <a:t> [CHF]</a:t>
                </a:r>
                <a:endParaRPr lang="de-CH"/>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CH"/>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8600360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CH"/>
              <a:t>Kapitalentwicklung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8.6767035258283429E-2"/>
          <c:y val="8.0291444968167092E-2"/>
          <c:w val="0.89200313615142912"/>
          <c:h val="0.83264507737410054"/>
        </c:manualLayout>
      </c:layout>
      <c:areaChart>
        <c:grouping val="standard"/>
        <c:varyColors val="0"/>
        <c:ser>
          <c:idx val="0"/>
          <c:order val="0"/>
          <c:tx>
            <c:strRef>
              <c:f>'Wirtschaftlichkeit_g.Min.'!$P$3</c:f>
              <c:strCache>
                <c:ptCount val="1"/>
                <c:pt idx="0">
                  <c:v>Kapital neg Entwicklung [CHF]</c:v>
                </c:pt>
              </c:strCache>
            </c:strRef>
          </c:tx>
          <c:spPr>
            <a:solidFill>
              <a:schemeClr val="accent2"/>
            </a:solidFill>
            <a:ln>
              <a:noFill/>
            </a:ln>
            <a:effectLst/>
          </c:spPr>
          <c:cat>
            <c:numRef>
              <c:f>'Wirtschaftlichkeit_g.Min.'!$B$5:$B$35</c:f>
              <c:numCache>
                <c:formatCode>General</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'Wirtschaftlichkeit_g.Min.'!$P$5:$P$35</c:f>
              <c:numCache>
                <c:formatCode>#,##0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A38A-4121-909E-B27597D05BAC}"/>
            </c:ext>
          </c:extLst>
        </c:ser>
        <c:ser>
          <c:idx val="1"/>
          <c:order val="1"/>
          <c:tx>
            <c:strRef>
              <c:f>'Wirtschaftlichkeit_g.Min.'!$Q$3</c:f>
              <c:strCache>
                <c:ptCount val="1"/>
                <c:pt idx="0">
                  <c:v>Kapital pos Entwicklung [CHF]</c:v>
                </c:pt>
              </c:strCache>
            </c:strRef>
          </c:tx>
          <c:spPr>
            <a:solidFill>
              <a:schemeClr val="tx2">
                <a:lumMod val="60000"/>
                <a:lumOff val="40000"/>
              </a:schemeClr>
            </a:solidFill>
            <a:ln w="25400">
              <a:noFill/>
            </a:ln>
            <a:effectLst/>
          </c:spPr>
          <c:cat>
            <c:numRef>
              <c:f>'Wirtschaftlichkeit_g.Min.'!$B$5:$B$35</c:f>
              <c:numCache>
                <c:formatCode>General</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'Wirtschaftlichkeit_g.Min.'!$Q$5:$Q$35</c:f>
              <c:numCache>
                <c:formatCode>#,##0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A38A-4121-909E-B27597D05BAC}"/>
            </c:ext>
          </c:extLst>
        </c:ser>
        <c:dLbls>
          <c:showLegendKey val="0"/>
          <c:showVal val="0"/>
          <c:showCatName val="0"/>
          <c:showSerName val="0"/>
          <c:showPercent val="0"/>
          <c:showBubbleSize val="0"/>
        </c:dLbls>
        <c:axId val="486003600"/>
        <c:axId val="486006344"/>
      </c:areaChart>
      <c:catAx>
        <c:axId val="48600360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CH"/>
                  <a:t>Laufzeit [Jahre]</a:t>
                </a:r>
              </a:p>
            </c:rich>
          </c:tx>
          <c:layout>
            <c:manualLayout>
              <c:xMode val="edge"/>
              <c:yMode val="edge"/>
              <c:x val="0.48641018952702469"/>
              <c:y val="0.9404046482524298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86006344"/>
        <c:crosses val="autoZero"/>
        <c:auto val="1"/>
        <c:lblAlgn val="ctr"/>
        <c:lblOffset val="100"/>
        <c:noMultiLvlLbl val="0"/>
      </c:catAx>
      <c:valAx>
        <c:axId val="4860063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CH"/>
                  <a:t>Kapitalentwicklung</a:t>
                </a:r>
                <a:r>
                  <a:rPr lang="de-CH" baseline="0"/>
                  <a:t> [CHF]</a:t>
                </a:r>
                <a:endParaRPr lang="de-CH"/>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CH"/>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8600360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scatterChart>
        <c:scatterStyle val="smoothMarker"/>
        <c:varyColors val="0"/>
        <c:ser>
          <c:idx val="0"/>
          <c:order val="0"/>
          <c:tx>
            <c:strRef>
              <c:f>'Faktor Eigenverbrauch'!$G$1</c:f>
              <c:strCache>
                <c:ptCount val="1"/>
                <c:pt idx="0">
                  <c:v>Altersheim</c:v>
                </c:pt>
              </c:strCache>
            </c:strRef>
          </c:tx>
          <c:spPr>
            <a:ln w="19050" cap="rnd">
              <a:solidFill>
                <a:schemeClr val="accent3">
                  <a:lumMod val="75000"/>
                </a:schemeClr>
              </a:solidFill>
              <a:round/>
            </a:ln>
            <a:effectLst/>
          </c:spPr>
          <c:marker>
            <c:symbol val="circle"/>
            <c:size val="5"/>
            <c:spPr>
              <a:solidFill>
                <a:schemeClr val="accent3">
                  <a:lumMod val="50000"/>
                </a:schemeClr>
              </a:solidFill>
              <a:ln w="9525">
                <a:solidFill>
                  <a:schemeClr val="accent3">
                    <a:lumMod val="50000"/>
                  </a:schemeClr>
                </a:solidFill>
              </a:ln>
              <a:effectLst/>
            </c:spPr>
          </c:marker>
          <c:xVal>
            <c:numRef>
              <c:f>'Faktor Eigenverbrauch'!$A$2:$A$32</c:f>
              <c:numCache>
                <c:formatCode>General</c:formatCode>
                <c:ptCount val="31"/>
                <c:pt idx="0">
                  <c:v>0</c:v>
                </c:pt>
                <c:pt idx="1">
                  <c:v>10</c:v>
                </c:pt>
                <c:pt idx="2">
                  <c:v>20</c:v>
                </c:pt>
                <c:pt idx="3">
                  <c:v>30</c:v>
                </c:pt>
                <c:pt idx="4">
                  <c:v>40</c:v>
                </c:pt>
                <c:pt idx="5">
                  <c:v>50</c:v>
                </c:pt>
                <c:pt idx="6">
                  <c:v>60</c:v>
                </c:pt>
                <c:pt idx="7">
                  <c:v>70</c:v>
                </c:pt>
                <c:pt idx="8">
                  <c:v>80</c:v>
                </c:pt>
                <c:pt idx="9">
                  <c:v>90</c:v>
                </c:pt>
                <c:pt idx="10">
                  <c:v>100</c:v>
                </c:pt>
                <c:pt idx="11">
                  <c:v>110</c:v>
                </c:pt>
                <c:pt idx="12">
                  <c:v>120</c:v>
                </c:pt>
                <c:pt idx="13">
                  <c:v>130</c:v>
                </c:pt>
                <c:pt idx="14">
                  <c:v>140</c:v>
                </c:pt>
                <c:pt idx="15">
                  <c:v>150</c:v>
                </c:pt>
                <c:pt idx="16">
                  <c:v>160</c:v>
                </c:pt>
                <c:pt idx="17">
                  <c:v>170</c:v>
                </c:pt>
                <c:pt idx="18">
                  <c:v>180</c:v>
                </c:pt>
                <c:pt idx="19">
                  <c:v>190</c:v>
                </c:pt>
                <c:pt idx="20">
                  <c:v>200</c:v>
                </c:pt>
                <c:pt idx="21">
                  <c:v>210</c:v>
                </c:pt>
                <c:pt idx="22">
                  <c:v>220</c:v>
                </c:pt>
                <c:pt idx="23">
                  <c:v>230</c:v>
                </c:pt>
                <c:pt idx="24">
                  <c:v>240</c:v>
                </c:pt>
                <c:pt idx="25">
                  <c:v>250</c:v>
                </c:pt>
                <c:pt idx="26">
                  <c:v>260</c:v>
                </c:pt>
                <c:pt idx="27">
                  <c:v>270</c:v>
                </c:pt>
                <c:pt idx="28">
                  <c:v>280</c:v>
                </c:pt>
                <c:pt idx="29">
                  <c:v>290</c:v>
                </c:pt>
                <c:pt idx="30">
                  <c:v>300</c:v>
                </c:pt>
              </c:numCache>
            </c:numRef>
          </c:xVal>
          <c:yVal>
            <c:numRef>
              <c:f>'Faktor Eigenverbrauch'!$G$2:$G$32</c:f>
              <c:numCache>
                <c:formatCode>General</c:formatCode>
                <c:ptCount val="31"/>
                <c:pt idx="0">
                  <c:v>100</c:v>
                </c:pt>
                <c:pt idx="1">
                  <c:v>100</c:v>
                </c:pt>
                <c:pt idx="2">
                  <c:v>98</c:v>
                </c:pt>
                <c:pt idx="3">
                  <c:v>90</c:v>
                </c:pt>
                <c:pt idx="4">
                  <c:v>80</c:v>
                </c:pt>
                <c:pt idx="5">
                  <c:v>71</c:v>
                </c:pt>
                <c:pt idx="6">
                  <c:v>64</c:v>
                </c:pt>
                <c:pt idx="7">
                  <c:v>58</c:v>
                </c:pt>
                <c:pt idx="8">
                  <c:v>53</c:v>
                </c:pt>
                <c:pt idx="9">
                  <c:v>49</c:v>
                </c:pt>
                <c:pt idx="10">
                  <c:v>45</c:v>
                </c:pt>
                <c:pt idx="11">
                  <c:v>42</c:v>
                </c:pt>
                <c:pt idx="12">
                  <c:v>39</c:v>
                </c:pt>
                <c:pt idx="13">
                  <c:v>37</c:v>
                </c:pt>
                <c:pt idx="14">
                  <c:v>35</c:v>
                </c:pt>
                <c:pt idx="15">
                  <c:v>33</c:v>
                </c:pt>
                <c:pt idx="16">
                  <c:v>31</c:v>
                </c:pt>
                <c:pt idx="17">
                  <c:v>30</c:v>
                </c:pt>
                <c:pt idx="18">
                  <c:v>28</c:v>
                </c:pt>
                <c:pt idx="19">
                  <c:v>27</c:v>
                </c:pt>
                <c:pt idx="20">
                  <c:v>26</c:v>
                </c:pt>
                <c:pt idx="21">
                  <c:v>25</c:v>
                </c:pt>
                <c:pt idx="22">
                  <c:v>24</c:v>
                </c:pt>
                <c:pt idx="23">
                  <c:v>23</c:v>
                </c:pt>
                <c:pt idx="24">
                  <c:v>22</c:v>
                </c:pt>
                <c:pt idx="25">
                  <c:v>21</c:v>
                </c:pt>
                <c:pt idx="26">
                  <c:v>20</c:v>
                </c:pt>
                <c:pt idx="27">
                  <c:v>20</c:v>
                </c:pt>
                <c:pt idx="28">
                  <c:v>19</c:v>
                </c:pt>
                <c:pt idx="29">
                  <c:v>19</c:v>
                </c:pt>
                <c:pt idx="30">
                  <c:v>18</c:v>
                </c:pt>
              </c:numCache>
            </c:numRef>
          </c:yVal>
          <c:smooth val="1"/>
          <c:extLst>
            <c:ext xmlns:c16="http://schemas.microsoft.com/office/drawing/2014/chart" uri="{C3380CC4-5D6E-409C-BE32-E72D297353CC}">
              <c16:uniqueId val="{00000000-ADAB-4625-8137-5E6CA1DC88C5}"/>
            </c:ext>
          </c:extLst>
        </c:ser>
        <c:ser>
          <c:idx val="1"/>
          <c:order val="1"/>
          <c:tx>
            <c:strRef>
              <c:f>'Faktor Eigenverbrauch'!$D$1</c:f>
              <c:strCache>
                <c:ptCount val="1"/>
                <c:pt idx="0">
                  <c:v>Büro</c:v>
                </c:pt>
              </c:strCache>
            </c:strRef>
          </c:tx>
          <c:spPr>
            <a:ln w="19050" cap="rnd">
              <a:solidFill>
                <a:srgbClr val="FF0000"/>
              </a:solidFill>
              <a:round/>
            </a:ln>
            <a:effectLst/>
          </c:spPr>
          <c:marker>
            <c:symbol val="circle"/>
            <c:size val="5"/>
            <c:spPr>
              <a:solidFill>
                <a:srgbClr val="FF0000"/>
              </a:solidFill>
              <a:ln w="9525">
                <a:solidFill>
                  <a:srgbClr val="FF0000"/>
                </a:solidFill>
              </a:ln>
              <a:effectLst/>
            </c:spPr>
          </c:marker>
          <c:xVal>
            <c:numRef>
              <c:f>'Faktor Eigenverbrauch'!$A$2:$A$32</c:f>
              <c:numCache>
                <c:formatCode>General</c:formatCode>
                <c:ptCount val="31"/>
                <c:pt idx="0">
                  <c:v>0</c:v>
                </c:pt>
                <c:pt idx="1">
                  <c:v>10</c:v>
                </c:pt>
                <c:pt idx="2">
                  <c:v>20</c:v>
                </c:pt>
                <c:pt idx="3">
                  <c:v>30</c:v>
                </c:pt>
                <c:pt idx="4">
                  <c:v>40</c:v>
                </c:pt>
                <c:pt idx="5">
                  <c:v>50</c:v>
                </c:pt>
                <c:pt idx="6">
                  <c:v>60</c:v>
                </c:pt>
                <c:pt idx="7">
                  <c:v>70</c:v>
                </c:pt>
                <c:pt idx="8">
                  <c:v>80</c:v>
                </c:pt>
                <c:pt idx="9">
                  <c:v>90</c:v>
                </c:pt>
                <c:pt idx="10">
                  <c:v>100</c:v>
                </c:pt>
                <c:pt idx="11">
                  <c:v>110</c:v>
                </c:pt>
                <c:pt idx="12">
                  <c:v>120</c:v>
                </c:pt>
                <c:pt idx="13">
                  <c:v>130</c:v>
                </c:pt>
                <c:pt idx="14">
                  <c:v>140</c:v>
                </c:pt>
                <c:pt idx="15">
                  <c:v>150</c:v>
                </c:pt>
                <c:pt idx="16">
                  <c:v>160</c:v>
                </c:pt>
                <c:pt idx="17">
                  <c:v>170</c:v>
                </c:pt>
                <c:pt idx="18">
                  <c:v>180</c:v>
                </c:pt>
                <c:pt idx="19">
                  <c:v>190</c:v>
                </c:pt>
                <c:pt idx="20">
                  <c:v>200</c:v>
                </c:pt>
                <c:pt idx="21">
                  <c:v>210</c:v>
                </c:pt>
                <c:pt idx="22">
                  <c:v>220</c:v>
                </c:pt>
                <c:pt idx="23">
                  <c:v>230</c:v>
                </c:pt>
                <c:pt idx="24">
                  <c:v>240</c:v>
                </c:pt>
                <c:pt idx="25">
                  <c:v>250</c:v>
                </c:pt>
                <c:pt idx="26">
                  <c:v>260</c:v>
                </c:pt>
                <c:pt idx="27">
                  <c:v>270</c:v>
                </c:pt>
                <c:pt idx="28">
                  <c:v>280</c:v>
                </c:pt>
                <c:pt idx="29">
                  <c:v>290</c:v>
                </c:pt>
                <c:pt idx="30">
                  <c:v>300</c:v>
                </c:pt>
              </c:numCache>
            </c:numRef>
          </c:xVal>
          <c:yVal>
            <c:numRef>
              <c:f>'Faktor Eigenverbrauch'!$D$2:$D$32</c:f>
              <c:numCache>
                <c:formatCode>General</c:formatCode>
                <c:ptCount val="31"/>
                <c:pt idx="0">
                  <c:v>100</c:v>
                </c:pt>
                <c:pt idx="1">
                  <c:v>99</c:v>
                </c:pt>
                <c:pt idx="2">
                  <c:v>93</c:v>
                </c:pt>
                <c:pt idx="3">
                  <c:v>87</c:v>
                </c:pt>
                <c:pt idx="4">
                  <c:v>77</c:v>
                </c:pt>
                <c:pt idx="5">
                  <c:v>68</c:v>
                </c:pt>
                <c:pt idx="6">
                  <c:v>61</c:v>
                </c:pt>
                <c:pt idx="7">
                  <c:v>55</c:v>
                </c:pt>
                <c:pt idx="8">
                  <c:v>50</c:v>
                </c:pt>
                <c:pt idx="9">
                  <c:v>46</c:v>
                </c:pt>
                <c:pt idx="10">
                  <c:v>43</c:v>
                </c:pt>
                <c:pt idx="11">
                  <c:v>40</c:v>
                </c:pt>
                <c:pt idx="12">
                  <c:v>38</c:v>
                </c:pt>
                <c:pt idx="13">
                  <c:v>35</c:v>
                </c:pt>
                <c:pt idx="14">
                  <c:v>33</c:v>
                </c:pt>
                <c:pt idx="15">
                  <c:v>31</c:v>
                </c:pt>
                <c:pt idx="16">
                  <c:v>30</c:v>
                </c:pt>
                <c:pt idx="17">
                  <c:v>28</c:v>
                </c:pt>
                <c:pt idx="18">
                  <c:v>27</c:v>
                </c:pt>
                <c:pt idx="19">
                  <c:v>26</c:v>
                </c:pt>
                <c:pt idx="20">
                  <c:v>25</c:v>
                </c:pt>
                <c:pt idx="21">
                  <c:v>24</c:v>
                </c:pt>
                <c:pt idx="22">
                  <c:v>23</c:v>
                </c:pt>
                <c:pt idx="23">
                  <c:v>22</c:v>
                </c:pt>
                <c:pt idx="24">
                  <c:v>21</c:v>
                </c:pt>
                <c:pt idx="25">
                  <c:v>20</c:v>
                </c:pt>
                <c:pt idx="26">
                  <c:v>20</c:v>
                </c:pt>
                <c:pt idx="27">
                  <c:v>19</c:v>
                </c:pt>
                <c:pt idx="28">
                  <c:v>18</c:v>
                </c:pt>
                <c:pt idx="29">
                  <c:v>18</c:v>
                </c:pt>
                <c:pt idx="30">
                  <c:v>17</c:v>
                </c:pt>
              </c:numCache>
            </c:numRef>
          </c:yVal>
          <c:smooth val="1"/>
          <c:extLst>
            <c:ext xmlns:c16="http://schemas.microsoft.com/office/drawing/2014/chart" uri="{C3380CC4-5D6E-409C-BE32-E72D297353CC}">
              <c16:uniqueId val="{00000001-ADAB-4625-8137-5E6CA1DC88C5}"/>
            </c:ext>
          </c:extLst>
        </c:ser>
        <c:ser>
          <c:idx val="2"/>
          <c:order val="2"/>
          <c:tx>
            <c:strRef>
              <c:f>'Faktor Eigenverbrauch'!$F$1</c:f>
              <c:strCache>
                <c:ptCount val="1"/>
                <c:pt idx="0">
                  <c:v>Schulhaus</c:v>
                </c:pt>
              </c:strCache>
            </c:strRef>
          </c:tx>
          <c:spPr>
            <a:ln w="19050" cap="rnd">
              <a:solidFill>
                <a:schemeClr val="accent6">
                  <a:lumMod val="75000"/>
                </a:schemeClr>
              </a:solidFill>
              <a:round/>
            </a:ln>
            <a:effectLst/>
          </c:spPr>
          <c:marker>
            <c:symbol val="circle"/>
            <c:size val="5"/>
            <c:spPr>
              <a:solidFill>
                <a:schemeClr val="accent6">
                  <a:lumMod val="75000"/>
                </a:schemeClr>
              </a:solidFill>
              <a:ln w="9525">
                <a:solidFill>
                  <a:schemeClr val="accent6">
                    <a:lumMod val="75000"/>
                  </a:schemeClr>
                </a:solidFill>
              </a:ln>
              <a:effectLst/>
            </c:spPr>
          </c:marker>
          <c:xVal>
            <c:numRef>
              <c:f>'Faktor Eigenverbrauch'!$A$2:$A$32</c:f>
              <c:numCache>
                <c:formatCode>General</c:formatCode>
                <c:ptCount val="31"/>
                <c:pt idx="0">
                  <c:v>0</c:v>
                </c:pt>
                <c:pt idx="1">
                  <c:v>10</c:v>
                </c:pt>
                <c:pt idx="2">
                  <c:v>20</c:v>
                </c:pt>
                <c:pt idx="3">
                  <c:v>30</c:v>
                </c:pt>
                <c:pt idx="4">
                  <c:v>40</c:v>
                </c:pt>
                <c:pt idx="5">
                  <c:v>50</c:v>
                </c:pt>
                <c:pt idx="6">
                  <c:v>60</c:v>
                </c:pt>
                <c:pt idx="7">
                  <c:v>70</c:v>
                </c:pt>
                <c:pt idx="8">
                  <c:v>80</c:v>
                </c:pt>
                <c:pt idx="9">
                  <c:v>90</c:v>
                </c:pt>
                <c:pt idx="10">
                  <c:v>100</c:v>
                </c:pt>
                <c:pt idx="11">
                  <c:v>110</c:v>
                </c:pt>
                <c:pt idx="12">
                  <c:v>120</c:v>
                </c:pt>
                <c:pt idx="13">
                  <c:v>130</c:v>
                </c:pt>
                <c:pt idx="14">
                  <c:v>140</c:v>
                </c:pt>
                <c:pt idx="15">
                  <c:v>150</c:v>
                </c:pt>
                <c:pt idx="16">
                  <c:v>160</c:v>
                </c:pt>
                <c:pt idx="17">
                  <c:v>170</c:v>
                </c:pt>
                <c:pt idx="18">
                  <c:v>180</c:v>
                </c:pt>
                <c:pt idx="19">
                  <c:v>190</c:v>
                </c:pt>
                <c:pt idx="20">
                  <c:v>200</c:v>
                </c:pt>
                <c:pt idx="21">
                  <c:v>210</c:v>
                </c:pt>
                <c:pt idx="22">
                  <c:v>220</c:v>
                </c:pt>
                <c:pt idx="23">
                  <c:v>230</c:v>
                </c:pt>
                <c:pt idx="24">
                  <c:v>240</c:v>
                </c:pt>
                <c:pt idx="25">
                  <c:v>250</c:v>
                </c:pt>
                <c:pt idx="26">
                  <c:v>260</c:v>
                </c:pt>
                <c:pt idx="27">
                  <c:v>270</c:v>
                </c:pt>
                <c:pt idx="28">
                  <c:v>280</c:v>
                </c:pt>
                <c:pt idx="29">
                  <c:v>290</c:v>
                </c:pt>
                <c:pt idx="30">
                  <c:v>300</c:v>
                </c:pt>
              </c:numCache>
            </c:numRef>
          </c:xVal>
          <c:yVal>
            <c:numRef>
              <c:f>'Faktor Eigenverbrauch'!$F$2:$F$32</c:f>
              <c:numCache>
                <c:formatCode>General</c:formatCode>
                <c:ptCount val="31"/>
                <c:pt idx="0">
                  <c:v>100</c:v>
                </c:pt>
                <c:pt idx="1">
                  <c:v>97</c:v>
                </c:pt>
                <c:pt idx="2">
                  <c:v>88</c:v>
                </c:pt>
                <c:pt idx="3">
                  <c:v>79</c:v>
                </c:pt>
                <c:pt idx="4">
                  <c:v>69</c:v>
                </c:pt>
                <c:pt idx="5">
                  <c:v>60</c:v>
                </c:pt>
                <c:pt idx="6">
                  <c:v>54</c:v>
                </c:pt>
                <c:pt idx="7">
                  <c:v>49</c:v>
                </c:pt>
                <c:pt idx="8">
                  <c:v>45</c:v>
                </c:pt>
                <c:pt idx="9">
                  <c:v>42</c:v>
                </c:pt>
                <c:pt idx="10">
                  <c:v>39</c:v>
                </c:pt>
                <c:pt idx="11">
                  <c:v>36</c:v>
                </c:pt>
                <c:pt idx="12">
                  <c:v>34</c:v>
                </c:pt>
                <c:pt idx="13">
                  <c:v>32</c:v>
                </c:pt>
                <c:pt idx="14">
                  <c:v>30</c:v>
                </c:pt>
                <c:pt idx="15">
                  <c:v>29</c:v>
                </c:pt>
                <c:pt idx="16">
                  <c:v>28</c:v>
                </c:pt>
                <c:pt idx="17">
                  <c:v>27</c:v>
                </c:pt>
                <c:pt idx="18">
                  <c:v>25</c:v>
                </c:pt>
                <c:pt idx="19">
                  <c:v>24</c:v>
                </c:pt>
                <c:pt idx="20">
                  <c:v>23</c:v>
                </c:pt>
                <c:pt idx="21">
                  <c:v>22</c:v>
                </c:pt>
                <c:pt idx="22">
                  <c:v>21</c:v>
                </c:pt>
                <c:pt idx="23">
                  <c:v>20</c:v>
                </c:pt>
                <c:pt idx="24">
                  <c:v>20</c:v>
                </c:pt>
                <c:pt idx="25">
                  <c:v>19</c:v>
                </c:pt>
                <c:pt idx="26">
                  <c:v>18</c:v>
                </c:pt>
                <c:pt idx="27">
                  <c:v>18</c:v>
                </c:pt>
                <c:pt idx="28">
                  <c:v>17</c:v>
                </c:pt>
                <c:pt idx="29">
                  <c:v>17</c:v>
                </c:pt>
                <c:pt idx="30">
                  <c:v>16</c:v>
                </c:pt>
              </c:numCache>
            </c:numRef>
          </c:yVal>
          <c:smooth val="1"/>
          <c:extLst>
            <c:ext xmlns:c16="http://schemas.microsoft.com/office/drawing/2014/chart" uri="{C3380CC4-5D6E-409C-BE32-E72D297353CC}">
              <c16:uniqueId val="{00000002-ADAB-4625-8137-5E6CA1DC88C5}"/>
            </c:ext>
          </c:extLst>
        </c:ser>
        <c:ser>
          <c:idx val="3"/>
          <c:order val="3"/>
          <c:tx>
            <c:strRef>
              <c:f>'Faktor Eigenverbrauch'!$E$1</c:f>
              <c:strCache>
                <c:ptCount val="1"/>
                <c:pt idx="0">
                  <c:v>Verkauf</c:v>
                </c:pt>
              </c:strCache>
            </c:strRef>
          </c:tx>
          <c:spPr>
            <a:ln w="19050" cap="rnd">
              <a:solidFill>
                <a:schemeClr val="accent6">
                  <a:lumMod val="50000"/>
                </a:schemeClr>
              </a:solidFill>
              <a:round/>
            </a:ln>
            <a:effectLst/>
          </c:spPr>
          <c:marker>
            <c:symbol val="circle"/>
            <c:size val="5"/>
            <c:spPr>
              <a:solidFill>
                <a:schemeClr val="accent6">
                  <a:lumMod val="50000"/>
                </a:schemeClr>
              </a:solidFill>
              <a:ln w="9525">
                <a:solidFill>
                  <a:schemeClr val="accent6">
                    <a:lumMod val="50000"/>
                  </a:schemeClr>
                </a:solidFill>
              </a:ln>
              <a:effectLst/>
            </c:spPr>
          </c:marker>
          <c:xVal>
            <c:numRef>
              <c:f>'Faktor Eigenverbrauch'!$A$2:$A$32</c:f>
              <c:numCache>
                <c:formatCode>General</c:formatCode>
                <c:ptCount val="31"/>
                <c:pt idx="0">
                  <c:v>0</c:v>
                </c:pt>
                <c:pt idx="1">
                  <c:v>10</c:v>
                </c:pt>
                <c:pt idx="2">
                  <c:v>20</c:v>
                </c:pt>
                <c:pt idx="3">
                  <c:v>30</c:v>
                </c:pt>
                <c:pt idx="4">
                  <c:v>40</c:v>
                </c:pt>
                <c:pt idx="5">
                  <c:v>50</c:v>
                </c:pt>
                <c:pt idx="6">
                  <c:v>60</c:v>
                </c:pt>
                <c:pt idx="7">
                  <c:v>70</c:v>
                </c:pt>
                <c:pt idx="8">
                  <c:v>80</c:v>
                </c:pt>
                <c:pt idx="9">
                  <c:v>90</c:v>
                </c:pt>
                <c:pt idx="10">
                  <c:v>100</c:v>
                </c:pt>
                <c:pt idx="11">
                  <c:v>110</c:v>
                </c:pt>
                <c:pt idx="12">
                  <c:v>120</c:v>
                </c:pt>
                <c:pt idx="13">
                  <c:v>130</c:v>
                </c:pt>
                <c:pt idx="14">
                  <c:v>140</c:v>
                </c:pt>
                <c:pt idx="15">
                  <c:v>150</c:v>
                </c:pt>
                <c:pt idx="16">
                  <c:v>160</c:v>
                </c:pt>
                <c:pt idx="17">
                  <c:v>170</c:v>
                </c:pt>
                <c:pt idx="18">
                  <c:v>180</c:v>
                </c:pt>
                <c:pt idx="19">
                  <c:v>190</c:v>
                </c:pt>
                <c:pt idx="20">
                  <c:v>200</c:v>
                </c:pt>
                <c:pt idx="21">
                  <c:v>210</c:v>
                </c:pt>
                <c:pt idx="22">
                  <c:v>220</c:v>
                </c:pt>
                <c:pt idx="23">
                  <c:v>230</c:v>
                </c:pt>
                <c:pt idx="24">
                  <c:v>240</c:v>
                </c:pt>
                <c:pt idx="25">
                  <c:v>250</c:v>
                </c:pt>
                <c:pt idx="26">
                  <c:v>260</c:v>
                </c:pt>
                <c:pt idx="27">
                  <c:v>270</c:v>
                </c:pt>
                <c:pt idx="28">
                  <c:v>280</c:v>
                </c:pt>
                <c:pt idx="29">
                  <c:v>290</c:v>
                </c:pt>
                <c:pt idx="30">
                  <c:v>300</c:v>
                </c:pt>
              </c:numCache>
            </c:numRef>
          </c:xVal>
          <c:yVal>
            <c:numRef>
              <c:f>'Faktor Eigenverbrauch'!$E$2:$E$32</c:f>
              <c:numCache>
                <c:formatCode>General</c:formatCode>
                <c:ptCount val="31"/>
                <c:pt idx="0">
                  <c:v>100</c:v>
                </c:pt>
                <c:pt idx="1">
                  <c:v>99</c:v>
                </c:pt>
                <c:pt idx="2">
                  <c:v>94</c:v>
                </c:pt>
                <c:pt idx="3">
                  <c:v>88</c:v>
                </c:pt>
                <c:pt idx="4">
                  <c:v>78</c:v>
                </c:pt>
                <c:pt idx="5">
                  <c:v>68</c:v>
                </c:pt>
                <c:pt idx="6">
                  <c:v>61</c:v>
                </c:pt>
                <c:pt idx="7">
                  <c:v>55</c:v>
                </c:pt>
                <c:pt idx="8">
                  <c:v>50</c:v>
                </c:pt>
                <c:pt idx="9">
                  <c:v>46</c:v>
                </c:pt>
                <c:pt idx="10">
                  <c:v>44</c:v>
                </c:pt>
                <c:pt idx="11">
                  <c:v>41</c:v>
                </c:pt>
                <c:pt idx="12">
                  <c:v>38</c:v>
                </c:pt>
                <c:pt idx="13">
                  <c:v>36</c:v>
                </c:pt>
                <c:pt idx="14">
                  <c:v>34</c:v>
                </c:pt>
                <c:pt idx="15">
                  <c:v>32</c:v>
                </c:pt>
                <c:pt idx="16">
                  <c:v>31</c:v>
                </c:pt>
                <c:pt idx="17">
                  <c:v>29</c:v>
                </c:pt>
                <c:pt idx="18">
                  <c:v>28</c:v>
                </c:pt>
                <c:pt idx="19">
                  <c:v>27</c:v>
                </c:pt>
                <c:pt idx="20">
                  <c:v>26</c:v>
                </c:pt>
                <c:pt idx="21">
                  <c:v>25</c:v>
                </c:pt>
                <c:pt idx="22">
                  <c:v>24</c:v>
                </c:pt>
                <c:pt idx="23">
                  <c:v>23</c:v>
                </c:pt>
                <c:pt idx="24">
                  <c:v>22</c:v>
                </c:pt>
                <c:pt idx="25">
                  <c:v>21</c:v>
                </c:pt>
                <c:pt idx="26">
                  <c:v>20</c:v>
                </c:pt>
                <c:pt idx="27">
                  <c:v>19</c:v>
                </c:pt>
                <c:pt idx="28">
                  <c:v>19</c:v>
                </c:pt>
                <c:pt idx="29">
                  <c:v>18</c:v>
                </c:pt>
                <c:pt idx="30">
                  <c:v>18</c:v>
                </c:pt>
              </c:numCache>
            </c:numRef>
          </c:yVal>
          <c:smooth val="1"/>
          <c:extLst>
            <c:ext xmlns:c16="http://schemas.microsoft.com/office/drawing/2014/chart" uri="{C3380CC4-5D6E-409C-BE32-E72D297353CC}">
              <c16:uniqueId val="{00000003-ADAB-4625-8137-5E6CA1DC88C5}"/>
            </c:ext>
          </c:extLst>
        </c:ser>
        <c:ser>
          <c:idx val="4"/>
          <c:order val="4"/>
          <c:tx>
            <c:strRef>
              <c:f>'Faktor Eigenverbrauch'!$C$1</c:f>
              <c:strCache>
                <c:ptCount val="1"/>
                <c:pt idx="0">
                  <c:v>Wohnen MFH</c:v>
                </c:pt>
              </c:strCache>
            </c:strRef>
          </c:tx>
          <c:spPr>
            <a:ln w="19050" cap="rnd">
              <a:solidFill>
                <a:schemeClr val="tx2">
                  <a:lumMod val="75000"/>
                </a:schemeClr>
              </a:solidFill>
              <a:round/>
            </a:ln>
            <a:effectLst/>
          </c:spPr>
          <c:marker>
            <c:symbol val="circle"/>
            <c:size val="5"/>
            <c:spPr>
              <a:solidFill>
                <a:schemeClr val="tx2">
                  <a:lumMod val="75000"/>
                </a:schemeClr>
              </a:solidFill>
              <a:ln w="9525">
                <a:solidFill>
                  <a:schemeClr val="tx2">
                    <a:lumMod val="75000"/>
                  </a:schemeClr>
                </a:solidFill>
              </a:ln>
              <a:effectLst/>
            </c:spPr>
          </c:marker>
          <c:xVal>
            <c:numRef>
              <c:f>'Faktor Eigenverbrauch'!$A$2:$A$32</c:f>
              <c:numCache>
                <c:formatCode>General</c:formatCode>
                <c:ptCount val="31"/>
                <c:pt idx="0">
                  <c:v>0</c:v>
                </c:pt>
                <c:pt idx="1">
                  <c:v>10</c:v>
                </c:pt>
                <c:pt idx="2">
                  <c:v>20</c:v>
                </c:pt>
                <c:pt idx="3">
                  <c:v>30</c:v>
                </c:pt>
                <c:pt idx="4">
                  <c:v>40</c:v>
                </c:pt>
                <c:pt idx="5">
                  <c:v>50</c:v>
                </c:pt>
                <c:pt idx="6">
                  <c:v>60</c:v>
                </c:pt>
                <c:pt idx="7">
                  <c:v>70</c:v>
                </c:pt>
                <c:pt idx="8">
                  <c:v>80</c:v>
                </c:pt>
                <c:pt idx="9">
                  <c:v>90</c:v>
                </c:pt>
                <c:pt idx="10">
                  <c:v>100</c:v>
                </c:pt>
                <c:pt idx="11">
                  <c:v>110</c:v>
                </c:pt>
                <c:pt idx="12">
                  <c:v>120</c:v>
                </c:pt>
                <c:pt idx="13">
                  <c:v>130</c:v>
                </c:pt>
                <c:pt idx="14">
                  <c:v>140</c:v>
                </c:pt>
                <c:pt idx="15">
                  <c:v>150</c:v>
                </c:pt>
                <c:pt idx="16">
                  <c:v>160</c:v>
                </c:pt>
                <c:pt idx="17">
                  <c:v>170</c:v>
                </c:pt>
                <c:pt idx="18">
                  <c:v>180</c:v>
                </c:pt>
                <c:pt idx="19">
                  <c:v>190</c:v>
                </c:pt>
                <c:pt idx="20">
                  <c:v>200</c:v>
                </c:pt>
                <c:pt idx="21">
                  <c:v>210</c:v>
                </c:pt>
                <c:pt idx="22">
                  <c:v>220</c:v>
                </c:pt>
                <c:pt idx="23">
                  <c:v>230</c:v>
                </c:pt>
                <c:pt idx="24">
                  <c:v>240</c:v>
                </c:pt>
                <c:pt idx="25">
                  <c:v>250</c:v>
                </c:pt>
                <c:pt idx="26">
                  <c:v>260</c:v>
                </c:pt>
                <c:pt idx="27">
                  <c:v>270</c:v>
                </c:pt>
                <c:pt idx="28">
                  <c:v>280</c:v>
                </c:pt>
                <c:pt idx="29">
                  <c:v>290</c:v>
                </c:pt>
                <c:pt idx="30">
                  <c:v>300</c:v>
                </c:pt>
              </c:numCache>
            </c:numRef>
          </c:xVal>
          <c:yVal>
            <c:numRef>
              <c:f>'Faktor Eigenverbrauch'!$C$2:$C$32</c:f>
              <c:numCache>
                <c:formatCode>General</c:formatCode>
                <c:ptCount val="31"/>
                <c:pt idx="0">
                  <c:v>100</c:v>
                </c:pt>
                <c:pt idx="1">
                  <c:v>100</c:v>
                </c:pt>
                <c:pt idx="2">
                  <c:v>95</c:v>
                </c:pt>
                <c:pt idx="3">
                  <c:v>81</c:v>
                </c:pt>
                <c:pt idx="4">
                  <c:v>69</c:v>
                </c:pt>
                <c:pt idx="5">
                  <c:v>58</c:v>
                </c:pt>
                <c:pt idx="6">
                  <c:v>51</c:v>
                </c:pt>
                <c:pt idx="7">
                  <c:v>45</c:v>
                </c:pt>
                <c:pt idx="8">
                  <c:v>40</c:v>
                </c:pt>
                <c:pt idx="9">
                  <c:v>37</c:v>
                </c:pt>
                <c:pt idx="10">
                  <c:v>35</c:v>
                </c:pt>
                <c:pt idx="11">
                  <c:v>32</c:v>
                </c:pt>
                <c:pt idx="12">
                  <c:v>30</c:v>
                </c:pt>
                <c:pt idx="13">
                  <c:v>28</c:v>
                </c:pt>
                <c:pt idx="14">
                  <c:v>26</c:v>
                </c:pt>
                <c:pt idx="15">
                  <c:v>25</c:v>
                </c:pt>
                <c:pt idx="16">
                  <c:v>24</c:v>
                </c:pt>
                <c:pt idx="17">
                  <c:v>23</c:v>
                </c:pt>
                <c:pt idx="18">
                  <c:v>22</c:v>
                </c:pt>
                <c:pt idx="19">
                  <c:v>21</c:v>
                </c:pt>
                <c:pt idx="20">
                  <c:v>20</c:v>
                </c:pt>
                <c:pt idx="21">
                  <c:v>19</c:v>
                </c:pt>
                <c:pt idx="22">
                  <c:v>18</c:v>
                </c:pt>
                <c:pt idx="23">
                  <c:v>17</c:v>
                </c:pt>
                <c:pt idx="24">
                  <c:v>17</c:v>
                </c:pt>
                <c:pt idx="25">
                  <c:v>16</c:v>
                </c:pt>
                <c:pt idx="26">
                  <c:v>16</c:v>
                </c:pt>
                <c:pt idx="27">
                  <c:v>15</c:v>
                </c:pt>
                <c:pt idx="28">
                  <c:v>15</c:v>
                </c:pt>
                <c:pt idx="29">
                  <c:v>14</c:v>
                </c:pt>
                <c:pt idx="30">
                  <c:v>14</c:v>
                </c:pt>
              </c:numCache>
            </c:numRef>
          </c:yVal>
          <c:smooth val="1"/>
          <c:extLst>
            <c:ext xmlns:c16="http://schemas.microsoft.com/office/drawing/2014/chart" uri="{C3380CC4-5D6E-409C-BE32-E72D297353CC}">
              <c16:uniqueId val="{00000004-ADAB-4625-8137-5E6CA1DC88C5}"/>
            </c:ext>
          </c:extLst>
        </c:ser>
        <c:ser>
          <c:idx val="5"/>
          <c:order val="5"/>
          <c:tx>
            <c:strRef>
              <c:f>'Faktor Eigenverbrauch'!$B$1</c:f>
              <c:strCache>
                <c:ptCount val="1"/>
                <c:pt idx="0">
                  <c:v>Wohnen EFH</c:v>
                </c:pt>
              </c:strCache>
            </c:strRef>
          </c:tx>
          <c:spPr>
            <a:ln w="19050" cap="rnd">
              <a:solidFill>
                <a:schemeClr val="accent5">
                  <a:lumMod val="60000"/>
                  <a:lumOff val="40000"/>
                </a:schemeClr>
              </a:solidFill>
              <a:round/>
            </a:ln>
            <a:effectLst/>
          </c:spPr>
          <c:marker>
            <c:symbol val="circle"/>
            <c:size val="5"/>
            <c:spPr>
              <a:solidFill>
                <a:schemeClr val="accent5">
                  <a:lumMod val="60000"/>
                  <a:lumOff val="40000"/>
                </a:schemeClr>
              </a:solidFill>
              <a:ln w="9525">
                <a:solidFill>
                  <a:schemeClr val="accent5">
                    <a:lumMod val="60000"/>
                    <a:lumOff val="40000"/>
                  </a:schemeClr>
                </a:solidFill>
              </a:ln>
              <a:effectLst/>
            </c:spPr>
          </c:marker>
          <c:xVal>
            <c:numRef>
              <c:f>'Faktor Eigenverbrauch'!$A$2:$A$32</c:f>
              <c:numCache>
                <c:formatCode>General</c:formatCode>
                <c:ptCount val="31"/>
                <c:pt idx="0">
                  <c:v>0</c:v>
                </c:pt>
                <c:pt idx="1">
                  <c:v>10</c:v>
                </c:pt>
                <c:pt idx="2">
                  <c:v>20</c:v>
                </c:pt>
                <c:pt idx="3">
                  <c:v>30</c:v>
                </c:pt>
                <c:pt idx="4">
                  <c:v>40</c:v>
                </c:pt>
                <c:pt idx="5">
                  <c:v>50</c:v>
                </c:pt>
                <c:pt idx="6">
                  <c:v>60</c:v>
                </c:pt>
                <c:pt idx="7">
                  <c:v>70</c:v>
                </c:pt>
                <c:pt idx="8">
                  <c:v>80</c:v>
                </c:pt>
                <c:pt idx="9">
                  <c:v>90</c:v>
                </c:pt>
                <c:pt idx="10">
                  <c:v>100</c:v>
                </c:pt>
                <c:pt idx="11">
                  <c:v>110</c:v>
                </c:pt>
                <c:pt idx="12">
                  <c:v>120</c:v>
                </c:pt>
                <c:pt idx="13">
                  <c:v>130</c:v>
                </c:pt>
                <c:pt idx="14">
                  <c:v>140</c:v>
                </c:pt>
                <c:pt idx="15">
                  <c:v>150</c:v>
                </c:pt>
                <c:pt idx="16">
                  <c:v>160</c:v>
                </c:pt>
                <c:pt idx="17">
                  <c:v>170</c:v>
                </c:pt>
                <c:pt idx="18">
                  <c:v>180</c:v>
                </c:pt>
                <c:pt idx="19">
                  <c:v>190</c:v>
                </c:pt>
                <c:pt idx="20">
                  <c:v>200</c:v>
                </c:pt>
                <c:pt idx="21">
                  <c:v>210</c:v>
                </c:pt>
                <c:pt idx="22">
                  <c:v>220</c:v>
                </c:pt>
                <c:pt idx="23">
                  <c:v>230</c:v>
                </c:pt>
                <c:pt idx="24">
                  <c:v>240</c:v>
                </c:pt>
                <c:pt idx="25">
                  <c:v>250</c:v>
                </c:pt>
                <c:pt idx="26">
                  <c:v>260</c:v>
                </c:pt>
                <c:pt idx="27">
                  <c:v>270</c:v>
                </c:pt>
                <c:pt idx="28">
                  <c:v>280</c:v>
                </c:pt>
                <c:pt idx="29">
                  <c:v>290</c:v>
                </c:pt>
                <c:pt idx="30">
                  <c:v>300</c:v>
                </c:pt>
              </c:numCache>
            </c:numRef>
          </c:xVal>
          <c:yVal>
            <c:numRef>
              <c:f>'Faktor Eigenverbrauch'!$B$2:$B$32</c:f>
              <c:numCache>
                <c:formatCode>General</c:formatCode>
                <c:ptCount val="31"/>
                <c:pt idx="0">
                  <c:v>100</c:v>
                </c:pt>
                <c:pt idx="1">
                  <c:v>93</c:v>
                </c:pt>
                <c:pt idx="2">
                  <c:v>80</c:v>
                </c:pt>
                <c:pt idx="3">
                  <c:v>67</c:v>
                </c:pt>
                <c:pt idx="4">
                  <c:v>57</c:v>
                </c:pt>
                <c:pt idx="5">
                  <c:v>50</c:v>
                </c:pt>
                <c:pt idx="6">
                  <c:v>44</c:v>
                </c:pt>
                <c:pt idx="7">
                  <c:v>39</c:v>
                </c:pt>
                <c:pt idx="8">
                  <c:v>36</c:v>
                </c:pt>
                <c:pt idx="9">
                  <c:v>33</c:v>
                </c:pt>
                <c:pt idx="10">
                  <c:v>31</c:v>
                </c:pt>
                <c:pt idx="11">
                  <c:v>29</c:v>
                </c:pt>
                <c:pt idx="12">
                  <c:v>27</c:v>
                </c:pt>
                <c:pt idx="13">
                  <c:v>26</c:v>
                </c:pt>
                <c:pt idx="14">
                  <c:v>24</c:v>
                </c:pt>
                <c:pt idx="15">
                  <c:v>23</c:v>
                </c:pt>
                <c:pt idx="16">
                  <c:v>22</c:v>
                </c:pt>
                <c:pt idx="17">
                  <c:v>21</c:v>
                </c:pt>
                <c:pt idx="18">
                  <c:v>20</c:v>
                </c:pt>
                <c:pt idx="19">
                  <c:v>19</c:v>
                </c:pt>
                <c:pt idx="20">
                  <c:v>19</c:v>
                </c:pt>
                <c:pt idx="21">
                  <c:v>18</c:v>
                </c:pt>
                <c:pt idx="22">
                  <c:v>17</c:v>
                </c:pt>
                <c:pt idx="23">
                  <c:v>17</c:v>
                </c:pt>
                <c:pt idx="24">
                  <c:v>16</c:v>
                </c:pt>
                <c:pt idx="25">
                  <c:v>16</c:v>
                </c:pt>
                <c:pt idx="26">
                  <c:v>15</c:v>
                </c:pt>
                <c:pt idx="27">
                  <c:v>15</c:v>
                </c:pt>
                <c:pt idx="28">
                  <c:v>14</c:v>
                </c:pt>
                <c:pt idx="29">
                  <c:v>14</c:v>
                </c:pt>
                <c:pt idx="30">
                  <c:v>13</c:v>
                </c:pt>
              </c:numCache>
            </c:numRef>
          </c:yVal>
          <c:smooth val="1"/>
          <c:extLst>
            <c:ext xmlns:c16="http://schemas.microsoft.com/office/drawing/2014/chart" uri="{C3380CC4-5D6E-409C-BE32-E72D297353CC}">
              <c16:uniqueId val="{00000005-ADAB-4625-8137-5E6CA1DC88C5}"/>
            </c:ext>
          </c:extLst>
        </c:ser>
        <c:dLbls>
          <c:showLegendKey val="0"/>
          <c:showVal val="0"/>
          <c:showCatName val="0"/>
          <c:showSerName val="0"/>
          <c:showPercent val="0"/>
          <c:showBubbleSize val="0"/>
        </c:dLbls>
        <c:axId val="2060256783"/>
        <c:axId val="1588558127"/>
      </c:scatterChart>
      <c:valAx>
        <c:axId val="2060256783"/>
        <c:scaling>
          <c:orientation val="minMax"/>
          <c:max val="300"/>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588558127"/>
        <c:crosses val="autoZero"/>
        <c:crossBetween val="midCat"/>
      </c:valAx>
      <c:valAx>
        <c:axId val="1588558127"/>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060256783"/>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 Id="rId9" Type="http://schemas.openxmlformats.org/officeDocument/2006/relationships/image" Target="../media/image10.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 Id="rId4" Type="http://schemas.openxmlformats.org/officeDocument/2006/relationships/image" Target="../media/image14.png"/></Relationships>
</file>

<file path=xl/drawings/_rels/drawing4.xml.rels><?xml version="1.0" encoding="UTF-8" standalone="yes"?>
<Relationships xmlns="http://schemas.openxmlformats.org/package/2006/relationships"><Relationship Id="rId3" Type="http://schemas.openxmlformats.org/officeDocument/2006/relationships/image" Target="../media/image17.png"/><Relationship Id="rId2" Type="http://schemas.openxmlformats.org/officeDocument/2006/relationships/image" Target="../media/image16.png"/><Relationship Id="rId1" Type="http://schemas.openxmlformats.org/officeDocument/2006/relationships/image" Target="../media/image15.png"/></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image" Target="../media/image1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35288</xdr:colOff>
      <xdr:row>40</xdr:row>
      <xdr:rowOff>24841</xdr:rowOff>
    </xdr:from>
    <xdr:to>
      <xdr:col>7</xdr:col>
      <xdr:colOff>1011788</xdr:colOff>
      <xdr:row>41</xdr:row>
      <xdr:rowOff>23560</xdr:rowOff>
    </xdr:to>
    <xdr:pic>
      <xdr:nvPicPr>
        <xdr:cNvPr id="9" name="Grafik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92463" y="12683566"/>
          <a:ext cx="6120000" cy="503544"/>
        </a:xfrm>
        <a:prstGeom prst="rect">
          <a:avLst/>
        </a:prstGeom>
        <a:ln>
          <a:solidFill>
            <a:schemeClr val="accent6"/>
          </a:solidFill>
        </a:ln>
      </xdr:spPr>
    </xdr:pic>
    <xdr:clientData/>
  </xdr:twoCellAnchor>
  <xdr:twoCellAnchor editAs="oneCell">
    <xdr:from>
      <xdr:col>1</xdr:col>
      <xdr:colOff>38100</xdr:colOff>
      <xdr:row>85</xdr:row>
      <xdr:rowOff>44941</xdr:rowOff>
    </xdr:from>
    <xdr:to>
      <xdr:col>7</xdr:col>
      <xdr:colOff>1050600</xdr:colOff>
      <xdr:row>85</xdr:row>
      <xdr:rowOff>1729953</xdr:rowOff>
    </xdr:to>
    <xdr:pic>
      <xdr:nvPicPr>
        <xdr:cNvPr id="17" name="Grafik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95275" y="34954066"/>
          <a:ext cx="6156000" cy="1685012"/>
        </a:xfrm>
        <a:prstGeom prst="rect">
          <a:avLst/>
        </a:prstGeom>
        <a:ln>
          <a:solidFill>
            <a:schemeClr val="tx2">
              <a:lumMod val="20000"/>
              <a:lumOff val="80000"/>
            </a:schemeClr>
          </a:solidFill>
        </a:ln>
      </xdr:spPr>
    </xdr:pic>
    <xdr:clientData/>
  </xdr:twoCellAnchor>
  <xdr:twoCellAnchor editAs="oneCell">
    <xdr:from>
      <xdr:col>3</xdr:col>
      <xdr:colOff>34819</xdr:colOff>
      <xdr:row>21</xdr:row>
      <xdr:rowOff>19040</xdr:rowOff>
    </xdr:from>
    <xdr:to>
      <xdr:col>7</xdr:col>
      <xdr:colOff>1006819</xdr:colOff>
      <xdr:row>21</xdr:row>
      <xdr:rowOff>1684588</xdr:rowOff>
    </xdr:to>
    <xdr:pic>
      <xdr:nvPicPr>
        <xdr:cNvPr id="2" name="Grafik 1">
          <a:extLst>
            <a:ext uri="{FF2B5EF4-FFF2-40B4-BE49-F238E27FC236}">
              <a16:creationId xmlns:a16="http://schemas.microsoft.com/office/drawing/2014/main" id="{13173441-C1E9-41BC-86B7-104E558C7AB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863494" y="5600690"/>
          <a:ext cx="5544000" cy="1665548"/>
        </a:xfrm>
        <a:prstGeom prst="rect">
          <a:avLst/>
        </a:prstGeom>
        <a:ln>
          <a:solidFill>
            <a:schemeClr val="tx2">
              <a:lumMod val="20000"/>
              <a:lumOff val="80000"/>
            </a:schemeClr>
          </a:solidFill>
        </a:ln>
      </xdr:spPr>
    </xdr:pic>
    <xdr:clientData/>
  </xdr:twoCellAnchor>
  <xdr:twoCellAnchor editAs="oneCell">
    <xdr:from>
      <xdr:col>3</xdr:col>
      <xdr:colOff>35869</xdr:colOff>
      <xdr:row>66</xdr:row>
      <xdr:rowOff>16197</xdr:rowOff>
    </xdr:from>
    <xdr:to>
      <xdr:col>7</xdr:col>
      <xdr:colOff>1043869</xdr:colOff>
      <xdr:row>66</xdr:row>
      <xdr:rowOff>2921830</xdr:rowOff>
    </xdr:to>
    <xdr:pic>
      <xdr:nvPicPr>
        <xdr:cNvPr id="13" name="Grafik 12">
          <a:extLst>
            <a:ext uri="{FF2B5EF4-FFF2-40B4-BE49-F238E27FC236}">
              <a16:creationId xmlns:a16="http://schemas.microsoft.com/office/drawing/2014/main" id="{9113E428-8756-993F-791F-C399DA6AD2D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64544" y="23104797"/>
          <a:ext cx="5580000" cy="2905633"/>
        </a:xfrm>
        <a:prstGeom prst="rect">
          <a:avLst/>
        </a:prstGeom>
        <a:ln>
          <a:solidFill>
            <a:schemeClr val="tx2">
              <a:lumMod val="20000"/>
              <a:lumOff val="80000"/>
            </a:schemeClr>
          </a:solidFill>
        </a:ln>
      </xdr:spPr>
    </xdr:pic>
    <xdr:clientData/>
  </xdr:twoCellAnchor>
  <xdr:twoCellAnchor editAs="oneCell">
    <xdr:from>
      <xdr:col>1</xdr:col>
      <xdr:colOff>41313</xdr:colOff>
      <xdr:row>81</xdr:row>
      <xdr:rowOff>19051</xdr:rowOff>
    </xdr:from>
    <xdr:to>
      <xdr:col>7</xdr:col>
      <xdr:colOff>1053813</xdr:colOff>
      <xdr:row>81</xdr:row>
      <xdr:rowOff>1333107</xdr:rowOff>
    </xdr:to>
    <xdr:pic>
      <xdr:nvPicPr>
        <xdr:cNvPr id="15" name="Grafik 14">
          <a:extLst>
            <a:ext uri="{FF2B5EF4-FFF2-40B4-BE49-F238E27FC236}">
              <a16:creationId xmlns:a16="http://schemas.microsoft.com/office/drawing/2014/main" id="{AE8B240D-4677-BA65-C0AA-A632E84F627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298488" y="31803976"/>
          <a:ext cx="6156000" cy="1314056"/>
        </a:xfrm>
        <a:prstGeom prst="rect">
          <a:avLst/>
        </a:prstGeom>
        <a:ln>
          <a:solidFill>
            <a:schemeClr val="tx2">
              <a:lumMod val="20000"/>
              <a:lumOff val="80000"/>
            </a:schemeClr>
          </a:solidFill>
        </a:ln>
      </xdr:spPr>
    </xdr:pic>
    <xdr:clientData/>
  </xdr:twoCellAnchor>
  <xdr:twoCellAnchor editAs="oneCell">
    <xdr:from>
      <xdr:col>1</xdr:col>
      <xdr:colOff>41218</xdr:colOff>
      <xdr:row>45</xdr:row>
      <xdr:rowOff>19043</xdr:rowOff>
    </xdr:from>
    <xdr:to>
      <xdr:col>7</xdr:col>
      <xdr:colOff>1017718</xdr:colOff>
      <xdr:row>45</xdr:row>
      <xdr:rowOff>1785174</xdr:rowOff>
    </xdr:to>
    <xdr:pic>
      <xdr:nvPicPr>
        <xdr:cNvPr id="3" name="Grafik 2">
          <a:extLst>
            <a:ext uri="{FF2B5EF4-FFF2-40B4-BE49-F238E27FC236}">
              <a16:creationId xmlns:a16="http://schemas.microsoft.com/office/drawing/2014/main" id="{B5E94832-0C74-91FE-77B0-8E6DC8EE034A}"/>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298393" y="13992218"/>
          <a:ext cx="6120000" cy="1766131"/>
        </a:xfrm>
        <a:prstGeom prst="rect">
          <a:avLst/>
        </a:prstGeom>
        <a:ln>
          <a:solidFill>
            <a:schemeClr val="tx2">
              <a:lumMod val="20000"/>
              <a:lumOff val="80000"/>
            </a:schemeClr>
          </a:solidFill>
        </a:ln>
      </xdr:spPr>
    </xdr:pic>
    <xdr:clientData/>
  </xdr:twoCellAnchor>
  <xdr:twoCellAnchor editAs="oneCell">
    <xdr:from>
      <xdr:col>0</xdr:col>
      <xdr:colOff>235117</xdr:colOff>
      <xdr:row>55</xdr:row>
      <xdr:rowOff>57150</xdr:rowOff>
    </xdr:from>
    <xdr:to>
      <xdr:col>6</xdr:col>
      <xdr:colOff>1137450</xdr:colOff>
      <xdr:row>55</xdr:row>
      <xdr:rowOff>453150</xdr:rowOff>
    </xdr:to>
    <xdr:pic>
      <xdr:nvPicPr>
        <xdr:cNvPr id="6" name="Grafik 5">
          <a:extLst>
            <a:ext uri="{FF2B5EF4-FFF2-40B4-BE49-F238E27FC236}">
              <a16:creationId xmlns:a16="http://schemas.microsoft.com/office/drawing/2014/main" id="{300E2C52-A88E-2F39-FEAC-6C992A799C7F}"/>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t="6222" b="6222"/>
        <a:stretch/>
      </xdr:blipFill>
      <xdr:spPr>
        <a:xfrm>
          <a:off x="235117" y="18183225"/>
          <a:ext cx="3636008" cy="396000"/>
        </a:xfrm>
        <a:prstGeom prst="rect">
          <a:avLst/>
        </a:prstGeom>
        <a:ln>
          <a:solidFill>
            <a:schemeClr val="tx2">
              <a:lumMod val="20000"/>
              <a:lumOff val="80000"/>
            </a:schemeClr>
          </a:solidFill>
        </a:ln>
      </xdr:spPr>
    </xdr:pic>
    <xdr:clientData/>
  </xdr:twoCellAnchor>
  <xdr:twoCellAnchor editAs="oneCell">
    <xdr:from>
      <xdr:col>6</xdr:col>
      <xdr:colOff>619275</xdr:colOff>
      <xdr:row>55</xdr:row>
      <xdr:rowOff>53802</xdr:rowOff>
    </xdr:from>
    <xdr:to>
      <xdr:col>7</xdr:col>
      <xdr:colOff>1048275</xdr:colOff>
      <xdr:row>55</xdr:row>
      <xdr:rowOff>2158808</xdr:rowOff>
    </xdr:to>
    <xdr:pic>
      <xdr:nvPicPr>
        <xdr:cNvPr id="7" name="Grafik 6">
          <a:extLst>
            <a:ext uri="{FF2B5EF4-FFF2-40B4-BE49-F238E27FC236}">
              <a16:creationId xmlns:a16="http://schemas.microsoft.com/office/drawing/2014/main" id="{8DC96598-1F6F-8F6C-9ADD-01723A7D44E4}"/>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xdr:blipFill>
      <xdr:spPr>
        <a:xfrm>
          <a:off x="3352950" y="18465627"/>
          <a:ext cx="3096000" cy="2105006"/>
        </a:xfrm>
        <a:prstGeom prst="rect">
          <a:avLst/>
        </a:prstGeom>
        <a:ln>
          <a:solidFill>
            <a:schemeClr val="tx2">
              <a:lumMod val="20000"/>
              <a:lumOff val="80000"/>
            </a:schemeClr>
          </a:solidFill>
        </a:ln>
      </xdr:spPr>
    </xdr:pic>
    <xdr:clientData/>
  </xdr:twoCellAnchor>
  <xdr:twoCellAnchor editAs="oneCell">
    <xdr:from>
      <xdr:col>1</xdr:col>
      <xdr:colOff>35954</xdr:colOff>
      <xdr:row>75</xdr:row>
      <xdr:rowOff>19052</xdr:rowOff>
    </xdr:from>
    <xdr:to>
      <xdr:col>7</xdr:col>
      <xdr:colOff>1048454</xdr:colOff>
      <xdr:row>76</xdr:row>
      <xdr:rowOff>17459</xdr:rowOff>
    </xdr:to>
    <xdr:pic>
      <xdr:nvPicPr>
        <xdr:cNvPr id="8" name="Grafik 7">
          <a:extLst>
            <a:ext uri="{FF2B5EF4-FFF2-40B4-BE49-F238E27FC236}">
              <a16:creationId xmlns:a16="http://schemas.microsoft.com/office/drawing/2014/main" id="{53D38932-3AC3-4FA8-A98F-60325BA1C4AB}"/>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xdr:blipFill>
      <xdr:spPr>
        <a:xfrm>
          <a:off x="293129" y="28651202"/>
          <a:ext cx="6156000" cy="969957"/>
        </a:xfrm>
        <a:prstGeom prst="rect">
          <a:avLst/>
        </a:prstGeom>
        <a:ln>
          <a:solidFill>
            <a:schemeClr val="tx2">
              <a:lumMod val="20000"/>
              <a:lumOff val="80000"/>
            </a:schemeClr>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56030</xdr:colOff>
      <xdr:row>51</xdr:row>
      <xdr:rowOff>56031</xdr:rowOff>
    </xdr:from>
    <xdr:to>
      <xdr:col>14</xdr:col>
      <xdr:colOff>299357</xdr:colOff>
      <xdr:row>51</xdr:row>
      <xdr:rowOff>1895475</xdr:rowOff>
    </xdr:to>
    <xdr:graphicFrame macro="">
      <xdr:nvGraphicFramePr>
        <xdr:cNvPr id="3" name="Diagramm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38099</xdr:colOff>
      <xdr:row>51</xdr:row>
      <xdr:rowOff>59840</xdr:rowOff>
    </xdr:from>
    <xdr:to>
      <xdr:col>9</xdr:col>
      <xdr:colOff>392206</xdr:colOff>
      <xdr:row>51</xdr:row>
      <xdr:rowOff>1888079</xdr:rowOff>
    </xdr:to>
    <xdr:graphicFrame macro="">
      <xdr:nvGraphicFramePr>
        <xdr:cNvPr id="4" name="Diagramm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91</xdr:row>
      <xdr:rowOff>304825</xdr:rowOff>
    </xdr:from>
    <xdr:to>
      <xdr:col>8</xdr:col>
      <xdr:colOff>1096125</xdr:colOff>
      <xdr:row>120</xdr:row>
      <xdr:rowOff>135716</xdr:rowOff>
    </xdr:to>
    <xdr:pic>
      <xdr:nvPicPr>
        <xdr:cNvPr id="9" name="Grafik 8">
          <a:extLst>
            <a:ext uri="{FF2B5EF4-FFF2-40B4-BE49-F238E27FC236}">
              <a16:creationId xmlns:a16="http://schemas.microsoft.com/office/drawing/2014/main" id="{BBB8DAC9-13A5-58F7-F168-E9BF54E37229}"/>
            </a:ext>
          </a:extLst>
        </xdr:cNvPr>
        <xdr:cNvPicPr>
          <a:picLocks noChangeAspect="1"/>
        </xdr:cNvPicPr>
      </xdr:nvPicPr>
      <xdr:blipFill rotWithShape="1">
        <a:blip xmlns:r="http://schemas.openxmlformats.org/officeDocument/2006/relationships" r:embed="rId1"/>
        <a:srcRect l="2300" t="34200"/>
        <a:stretch/>
      </xdr:blipFill>
      <xdr:spPr>
        <a:xfrm>
          <a:off x="257175" y="19707250"/>
          <a:ext cx="6192000" cy="4688640"/>
        </a:xfrm>
        <a:prstGeom prst="rect">
          <a:avLst/>
        </a:prstGeom>
      </xdr:spPr>
    </xdr:pic>
    <xdr:clientData/>
  </xdr:twoCellAnchor>
  <xdr:twoCellAnchor editAs="oneCell">
    <xdr:from>
      <xdr:col>0</xdr:col>
      <xdr:colOff>234081</xdr:colOff>
      <xdr:row>121</xdr:row>
      <xdr:rowOff>104804</xdr:rowOff>
    </xdr:from>
    <xdr:to>
      <xdr:col>2</xdr:col>
      <xdr:colOff>381000</xdr:colOff>
      <xdr:row>139</xdr:row>
      <xdr:rowOff>19049</xdr:rowOff>
    </xdr:to>
    <xdr:pic>
      <xdr:nvPicPr>
        <xdr:cNvPr id="10" name="Grafik 9">
          <a:extLst>
            <a:ext uri="{FF2B5EF4-FFF2-40B4-BE49-F238E27FC236}">
              <a16:creationId xmlns:a16="http://schemas.microsoft.com/office/drawing/2014/main" id="{141ABE49-5538-4966-A9C0-9D282A93013E}"/>
            </a:ext>
          </a:extLst>
        </xdr:cNvPr>
        <xdr:cNvPicPr>
          <a:picLocks noChangeAspect="1"/>
        </xdr:cNvPicPr>
      </xdr:nvPicPr>
      <xdr:blipFill rotWithShape="1">
        <a:blip xmlns:r="http://schemas.openxmlformats.org/officeDocument/2006/relationships" r:embed="rId1"/>
        <a:srcRect l="81708" t="3320" b="65800"/>
        <a:stretch/>
      </xdr:blipFill>
      <xdr:spPr>
        <a:xfrm>
          <a:off x="234081" y="21107429"/>
          <a:ext cx="1480419" cy="2828896"/>
        </a:xfrm>
        <a:prstGeom prst="rect">
          <a:avLst/>
        </a:prstGeom>
      </xdr:spPr>
    </xdr:pic>
    <xdr:clientData/>
  </xdr:twoCellAnchor>
  <xdr:twoCellAnchor editAs="oneCell">
    <xdr:from>
      <xdr:col>1</xdr:col>
      <xdr:colOff>1969</xdr:colOff>
      <xdr:row>8</xdr:row>
      <xdr:rowOff>26277</xdr:rowOff>
    </xdr:from>
    <xdr:to>
      <xdr:col>7</xdr:col>
      <xdr:colOff>609600</xdr:colOff>
      <xdr:row>30</xdr:row>
      <xdr:rowOff>78592</xdr:rowOff>
    </xdr:to>
    <xdr:pic>
      <xdr:nvPicPr>
        <xdr:cNvPr id="2" name="Grafik 1">
          <a:extLst>
            <a:ext uri="{FF2B5EF4-FFF2-40B4-BE49-F238E27FC236}">
              <a16:creationId xmlns:a16="http://schemas.microsoft.com/office/drawing/2014/main" id="{35A85A25-AACA-B4DB-A371-0E9587091E90}"/>
            </a:ext>
          </a:extLst>
        </xdr:cNvPr>
        <xdr:cNvPicPr>
          <a:picLocks noChangeAspect="1"/>
        </xdr:cNvPicPr>
      </xdr:nvPicPr>
      <xdr:blipFill>
        <a:blip xmlns:r="http://schemas.openxmlformats.org/officeDocument/2006/relationships" r:embed="rId2"/>
        <a:stretch>
          <a:fillRect/>
        </a:stretch>
      </xdr:blipFill>
      <xdr:spPr>
        <a:xfrm>
          <a:off x="259144" y="1740777"/>
          <a:ext cx="4941506" cy="3614665"/>
        </a:xfrm>
        <a:prstGeom prst="rect">
          <a:avLst/>
        </a:prstGeom>
      </xdr:spPr>
    </xdr:pic>
    <xdr:clientData/>
  </xdr:twoCellAnchor>
  <xdr:twoCellAnchor editAs="oneCell">
    <xdr:from>
      <xdr:col>0</xdr:col>
      <xdr:colOff>251262</xdr:colOff>
      <xdr:row>32</xdr:row>
      <xdr:rowOff>76200</xdr:rowOff>
    </xdr:from>
    <xdr:to>
      <xdr:col>7</xdr:col>
      <xdr:colOff>674247</xdr:colOff>
      <xdr:row>53</xdr:row>
      <xdr:rowOff>2627</xdr:rowOff>
    </xdr:to>
    <xdr:pic>
      <xdr:nvPicPr>
        <xdr:cNvPr id="3" name="Grafik 2">
          <a:extLst>
            <a:ext uri="{FF2B5EF4-FFF2-40B4-BE49-F238E27FC236}">
              <a16:creationId xmlns:a16="http://schemas.microsoft.com/office/drawing/2014/main" id="{A35B42DB-E7B3-9ED7-0AE8-98DF733D925C}"/>
            </a:ext>
          </a:extLst>
        </xdr:cNvPr>
        <xdr:cNvPicPr>
          <a:picLocks noChangeAspect="1"/>
        </xdr:cNvPicPr>
      </xdr:nvPicPr>
      <xdr:blipFill>
        <a:blip xmlns:r="http://schemas.openxmlformats.org/officeDocument/2006/relationships" r:embed="rId3"/>
        <a:stretch>
          <a:fillRect/>
        </a:stretch>
      </xdr:blipFill>
      <xdr:spPr>
        <a:xfrm>
          <a:off x="251262" y="6324600"/>
          <a:ext cx="5014035" cy="3326852"/>
        </a:xfrm>
        <a:prstGeom prst="rect">
          <a:avLst/>
        </a:prstGeom>
      </xdr:spPr>
    </xdr:pic>
    <xdr:clientData/>
  </xdr:twoCellAnchor>
  <xdr:twoCellAnchor editAs="oneCell">
    <xdr:from>
      <xdr:col>0</xdr:col>
      <xdr:colOff>253147</xdr:colOff>
      <xdr:row>58</xdr:row>
      <xdr:rowOff>18141</xdr:rowOff>
    </xdr:from>
    <xdr:to>
      <xdr:col>8</xdr:col>
      <xdr:colOff>300097</xdr:colOff>
      <xdr:row>78</xdr:row>
      <xdr:rowOff>55495</xdr:rowOff>
    </xdr:to>
    <xdr:pic>
      <xdr:nvPicPr>
        <xdr:cNvPr id="4" name="Grafik 3">
          <a:extLst>
            <a:ext uri="{FF2B5EF4-FFF2-40B4-BE49-F238E27FC236}">
              <a16:creationId xmlns:a16="http://schemas.microsoft.com/office/drawing/2014/main" id="{DFF67A98-B267-FF2D-E47A-DA8DD7E205B4}"/>
            </a:ext>
          </a:extLst>
        </xdr:cNvPr>
        <xdr:cNvPicPr>
          <a:picLocks noChangeAspect="1"/>
        </xdr:cNvPicPr>
      </xdr:nvPicPr>
      <xdr:blipFill>
        <a:blip xmlns:r="http://schemas.openxmlformats.org/officeDocument/2006/relationships" r:embed="rId4"/>
        <a:stretch>
          <a:fillRect/>
        </a:stretch>
      </xdr:blipFill>
      <xdr:spPr>
        <a:xfrm>
          <a:off x="253147" y="13676991"/>
          <a:ext cx="5400000" cy="32758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37429</xdr:colOff>
      <xdr:row>113</xdr:row>
      <xdr:rowOff>156661</xdr:rowOff>
    </xdr:from>
    <xdr:to>
      <xdr:col>14</xdr:col>
      <xdr:colOff>291353</xdr:colOff>
      <xdr:row>130</xdr:row>
      <xdr:rowOff>88534</xdr:rowOff>
    </xdr:to>
    <xdr:pic>
      <xdr:nvPicPr>
        <xdr:cNvPr id="5" name="Grafik 4">
          <a:extLst>
            <a:ext uri="{FF2B5EF4-FFF2-40B4-BE49-F238E27FC236}">
              <a16:creationId xmlns:a16="http://schemas.microsoft.com/office/drawing/2014/main" id="{4B705343-4136-F134-506C-863CA5CC2E20}"/>
            </a:ext>
          </a:extLst>
        </xdr:cNvPr>
        <xdr:cNvPicPr>
          <a:picLocks noChangeAspect="1"/>
        </xdr:cNvPicPr>
      </xdr:nvPicPr>
      <xdr:blipFill>
        <a:blip xmlns:r="http://schemas.openxmlformats.org/officeDocument/2006/relationships" r:embed="rId1"/>
        <a:stretch>
          <a:fillRect/>
        </a:stretch>
      </xdr:blipFill>
      <xdr:spPr>
        <a:xfrm>
          <a:off x="8408223" y="25067337"/>
          <a:ext cx="5229336" cy="2598873"/>
        </a:xfrm>
        <a:prstGeom prst="rect">
          <a:avLst/>
        </a:prstGeom>
      </xdr:spPr>
    </xdr:pic>
    <xdr:clientData/>
  </xdr:twoCellAnchor>
  <xdr:twoCellAnchor editAs="oneCell">
    <xdr:from>
      <xdr:col>6</xdr:col>
      <xdr:colOff>135927</xdr:colOff>
      <xdr:row>128</xdr:row>
      <xdr:rowOff>3923</xdr:rowOff>
    </xdr:from>
    <xdr:to>
      <xdr:col>17</xdr:col>
      <xdr:colOff>338012</xdr:colOff>
      <xdr:row>139</xdr:row>
      <xdr:rowOff>145676</xdr:rowOff>
    </xdr:to>
    <xdr:pic>
      <xdr:nvPicPr>
        <xdr:cNvPr id="6" name="Grafik 5">
          <a:extLst>
            <a:ext uri="{FF2B5EF4-FFF2-40B4-BE49-F238E27FC236}">
              <a16:creationId xmlns:a16="http://schemas.microsoft.com/office/drawing/2014/main" id="{EE58C0D1-9E72-DFB8-FAB8-D29DFC29FACF}"/>
            </a:ext>
          </a:extLst>
        </xdr:cNvPr>
        <xdr:cNvPicPr>
          <a:picLocks noChangeAspect="1"/>
        </xdr:cNvPicPr>
      </xdr:nvPicPr>
      <xdr:blipFill>
        <a:blip xmlns:r="http://schemas.openxmlformats.org/officeDocument/2006/relationships" r:embed="rId2"/>
        <a:stretch>
          <a:fillRect/>
        </a:stretch>
      </xdr:blipFill>
      <xdr:spPr>
        <a:xfrm>
          <a:off x="8506721" y="27772099"/>
          <a:ext cx="6488585" cy="1934695"/>
        </a:xfrm>
        <a:prstGeom prst="rect">
          <a:avLst/>
        </a:prstGeom>
      </xdr:spPr>
    </xdr:pic>
    <xdr:clientData/>
  </xdr:twoCellAnchor>
  <xdr:twoCellAnchor editAs="oneCell">
    <xdr:from>
      <xdr:col>6</xdr:col>
      <xdr:colOff>111500</xdr:colOff>
      <xdr:row>75</xdr:row>
      <xdr:rowOff>132710</xdr:rowOff>
    </xdr:from>
    <xdr:to>
      <xdr:col>17</xdr:col>
      <xdr:colOff>44825</xdr:colOff>
      <xdr:row>77</xdr:row>
      <xdr:rowOff>149048</xdr:rowOff>
    </xdr:to>
    <xdr:pic>
      <xdr:nvPicPr>
        <xdr:cNvPr id="2" name="Grafik 1">
          <a:extLst>
            <a:ext uri="{FF2B5EF4-FFF2-40B4-BE49-F238E27FC236}">
              <a16:creationId xmlns:a16="http://schemas.microsoft.com/office/drawing/2014/main" id="{96D85854-5470-4A4C-BAE8-4DD959E90817}"/>
            </a:ext>
          </a:extLst>
        </xdr:cNvPr>
        <xdr:cNvPicPr>
          <a:picLocks noChangeAspect="1"/>
        </xdr:cNvPicPr>
      </xdr:nvPicPr>
      <xdr:blipFill>
        <a:blip xmlns:r="http://schemas.openxmlformats.org/officeDocument/2006/relationships" r:embed="rId3"/>
        <a:stretch>
          <a:fillRect/>
        </a:stretch>
      </xdr:blipFill>
      <xdr:spPr>
        <a:xfrm>
          <a:off x="8479893" y="16910317"/>
          <a:ext cx="6215822" cy="152128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18</xdr:col>
      <xdr:colOff>126842</xdr:colOff>
      <xdr:row>3</xdr:row>
      <xdr:rowOff>324122</xdr:rowOff>
    </xdr:from>
    <xdr:to>
      <xdr:col>24</xdr:col>
      <xdr:colOff>138546</xdr:colOff>
      <xdr:row>36</xdr:row>
      <xdr:rowOff>0</xdr:rowOff>
    </xdr:to>
    <xdr:graphicFrame macro="">
      <xdr:nvGraphicFramePr>
        <xdr:cNvPr id="8" name="Diagramm 7">
          <a:extLst>
            <a:ext uri="{FF2B5EF4-FFF2-40B4-BE49-F238E27FC236}">
              <a16:creationId xmlns:a16="http://schemas.microsoft.com/office/drawing/2014/main" id="{00000000-0008-0000-1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18</xdr:col>
      <xdr:colOff>126842</xdr:colOff>
      <xdr:row>3</xdr:row>
      <xdr:rowOff>324122</xdr:rowOff>
    </xdr:from>
    <xdr:to>
      <xdr:col>23</xdr:col>
      <xdr:colOff>432954</xdr:colOff>
      <xdr:row>35</xdr:row>
      <xdr:rowOff>17318</xdr:rowOff>
    </xdr:to>
    <xdr:graphicFrame macro="">
      <xdr:nvGraphicFramePr>
        <xdr:cNvPr id="2" name="Diagramm 1">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8</xdr:col>
      <xdr:colOff>123826</xdr:colOff>
      <xdr:row>0</xdr:row>
      <xdr:rowOff>142875</xdr:rowOff>
    </xdr:from>
    <xdr:to>
      <xdr:col>22</xdr:col>
      <xdr:colOff>161926</xdr:colOff>
      <xdr:row>31</xdr:row>
      <xdr:rowOff>81019</xdr:rowOff>
    </xdr:to>
    <xdr:pic>
      <xdr:nvPicPr>
        <xdr:cNvPr id="2" name="Grafik 1">
          <a:extLst>
            <a:ext uri="{FF2B5EF4-FFF2-40B4-BE49-F238E27FC236}">
              <a16:creationId xmlns:a16="http://schemas.microsoft.com/office/drawing/2014/main" id="{63FF78A0-8644-E3E0-2312-900669990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9826" y="142875"/>
          <a:ext cx="10706100" cy="67389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582707</xdr:colOff>
      <xdr:row>28</xdr:row>
      <xdr:rowOff>123824</xdr:rowOff>
    </xdr:from>
    <xdr:to>
      <xdr:col>21</xdr:col>
      <xdr:colOff>649941</xdr:colOff>
      <xdr:row>61</xdr:row>
      <xdr:rowOff>38100</xdr:rowOff>
    </xdr:to>
    <xdr:graphicFrame macro="">
      <xdr:nvGraphicFramePr>
        <xdr:cNvPr id="3" name="Diagramm 2">
          <a:extLst>
            <a:ext uri="{FF2B5EF4-FFF2-40B4-BE49-F238E27FC236}">
              <a16:creationId xmlns:a16="http://schemas.microsoft.com/office/drawing/2014/main" id="{4E4C1B83-3AEF-263D-3A05-09B00EB8AE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Tobias Schläpfer | Plan-E AG" id="{B362CE9D-3268-4084-B378-ABEFFFF469CE}" userId="S::tobias.schlaepfer@plan-e.ch::c7cc2148-15f1-4b72-b601-ad0a420fb374" providerId="AD"/>
</personList>
</file>

<file path=xl/theme/theme1.xml><?xml version="1.0" encoding="utf-8"?>
<a:theme xmlns:a="http://schemas.openxmlformats.org/drawingml/2006/main" name="Office Theme 2007 - 2010">
  <a:themeElements>
    <a:clrScheme name="Stadt Luzern">
      <a:dk1>
        <a:sysClr val="windowText" lastClr="000000"/>
      </a:dk1>
      <a:lt1>
        <a:sysClr val="window" lastClr="FFFFFF"/>
      </a:lt1>
      <a:dk2>
        <a:srgbClr val="4B4B4B"/>
      </a:dk2>
      <a:lt2>
        <a:srgbClr val="B9B9B9"/>
      </a:lt2>
      <a:accent1>
        <a:srgbClr val="0072BD"/>
      </a:accent1>
      <a:accent2>
        <a:srgbClr val="378DCC"/>
      </a:accent2>
      <a:accent3>
        <a:srgbClr val="6CA2D7"/>
      </a:accent3>
      <a:accent4>
        <a:srgbClr val="97B8E2"/>
      </a:accent4>
      <a:accent5>
        <a:srgbClr val="BBCFED"/>
      </a:accent5>
      <a:accent6>
        <a:srgbClr val="DFE7F7"/>
      </a:accent6>
      <a:hlink>
        <a:srgbClr val="000000"/>
      </a:hlink>
      <a:folHlink>
        <a:srgbClr val="00000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O51" dT="2025-10-01T13:25:40.59" personId="{B362CE9D-3268-4084-B378-ABEFFFF469CE}" id="{75A7E340-4F29-43ED-AE85-999A42B5E75B}">
    <text>Erst Q1 und Q2 enthalten</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stadtluzern.ch/dienstleistungeninformation/3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2.bin"/><Relationship Id="rId1" Type="http://schemas.openxmlformats.org/officeDocument/2006/relationships/hyperlink" Target="https://www.fedlex.admin.ch/eli/cc/2017/766/de" TargetMode="External"/></Relationships>
</file>

<file path=xl/worksheets/_rels/sheet13.xml.rels><?xml version="1.0" encoding="UTF-8" standalone="yes"?>
<Relationships xmlns="http://schemas.openxmlformats.org/package/2006/relationships"><Relationship Id="rId8" Type="http://schemas.openxmlformats.org/officeDocument/2006/relationships/vmlDrawing" Target="../drawings/vmlDrawing10.vml"/><Relationship Id="rId3" Type="http://schemas.openxmlformats.org/officeDocument/2006/relationships/hyperlink" Target="https://www.ewl-luzern.ch/privatkunden/energie/strom/selber-produzieren/stromruecklieferung/" TargetMode="External"/><Relationship Id="rId7" Type="http://schemas.openxmlformats.org/officeDocument/2006/relationships/drawing" Target="../drawings/drawing4.xml"/><Relationship Id="rId2" Type="http://schemas.openxmlformats.org/officeDocument/2006/relationships/hyperlink" Target="https://www.ckw.ch/energie/strom/ruecklieferverguetung" TargetMode="External"/><Relationship Id="rId1" Type="http://schemas.openxmlformats.org/officeDocument/2006/relationships/hyperlink" Target="https://www.bfe.admin.ch/bfe/de/home/foerderung/erneuerbare-energien/einspeiseverguetung.html/" TargetMode="External"/><Relationship Id="rId6" Type="http://schemas.openxmlformats.org/officeDocument/2006/relationships/printerSettings" Target="../printerSettings/printerSettings13.bin"/><Relationship Id="rId5" Type="http://schemas.openxmlformats.org/officeDocument/2006/relationships/hyperlink" Target="https://www.bwo.admin.ch/bwo/de/home/mietrecht/referenzzinssatz.html" TargetMode="External"/><Relationship Id="rId10" Type="http://schemas.microsoft.com/office/2017/10/relationships/threadedComment" Target="../threadedComments/threadedComment1.xml"/><Relationship Id="rId4" Type="http://schemas.openxmlformats.org/officeDocument/2006/relationships/hyperlink" Target="https://www.ckw.ch/energie/strom/stromprodukte/privat" TargetMode="External"/><Relationship Id="rId9" Type="http://schemas.openxmlformats.org/officeDocument/2006/relationships/comments" Target="../comments1.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7F7F0-6C01-4E18-BBF3-1CADE71E5651}">
  <sheetPr codeName="Tabelle6"/>
  <dimension ref="A1:D42"/>
  <sheetViews>
    <sheetView showGridLines="0" tabSelected="1" view="pageLayout" zoomScaleNormal="100" workbookViewId="0"/>
  </sheetViews>
  <sheetFormatPr baseColWidth="10" defaultColWidth="0" defaultRowHeight="12.75" zeroHeight="1" x14ac:dyDescent="0.2"/>
  <cols>
    <col min="1" max="1" width="3.7109375" style="270" customWidth="1"/>
    <col min="2" max="2" width="5.28515625" style="250" customWidth="1"/>
    <col min="3" max="3" width="84.7109375" style="250" customWidth="1"/>
    <col min="4" max="4" width="2" style="250" customWidth="1"/>
    <col min="5" max="16384" width="11.42578125" style="250" hidden="1"/>
  </cols>
  <sheetData>
    <row r="1" spans="1:3" s="271" customFormat="1" ht="113.25" customHeight="1" x14ac:dyDescent="0.2">
      <c r="A1" s="257"/>
      <c r="B1"/>
      <c r="C1"/>
    </row>
    <row r="2" spans="1:3" ht="16.5" customHeight="1" x14ac:dyDescent="0.2">
      <c r="B2" s="253" t="s">
        <v>555</v>
      </c>
    </row>
    <row r="3" spans="1:3" ht="16.5" customHeight="1" x14ac:dyDescent="0.2">
      <c r="B3" s="251"/>
    </row>
    <row r="4" spans="1:3" ht="16.5" customHeight="1" x14ac:dyDescent="0.2">
      <c r="B4" s="254" t="s">
        <v>436</v>
      </c>
    </row>
    <row r="5" spans="1:3" ht="16.5" customHeight="1" x14ac:dyDescent="0.2">
      <c r="B5" s="595" t="s">
        <v>437</v>
      </c>
      <c r="C5" s="595"/>
    </row>
    <row r="6" spans="1:3" ht="16.5" customHeight="1" x14ac:dyDescent="0.2">
      <c r="B6" s="255" t="s">
        <v>554</v>
      </c>
    </row>
    <row r="7" spans="1:3" ht="16.5" customHeight="1" x14ac:dyDescent="0.2">
      <c r="B7" s="255"/>
    </row>
    <row r="8" spans="1:3" ht="64.5" customHeight="1" x14ac:dyDescent="0.2">
      <c r="B8" s="598" t="s">
        <v>553</v>
      </c>
      <c r="C8" s="598"/>
    </row>
    <row r="9" spans="1:3" ht="16.5" customHeight="1" x14ac:dyDescent="0.2">
      <c r="B9" s="583"/>
      <c r="C9" s="583"/>
    </row>
    <row r="10" spans="1:3" ht="16.5" customHeight="1" x14ac:dyDescent="0.2">
      <c r="B10" s="256" t="s">
        <v>433</v>
      </c>
    </row>
    <row r="11" spans="1:3" ht="16.5" customHeight="1" x14ac:dyDescent="0.2"/>
    <row r="12" spans="1:3" ht="16.5" customHeight="1" x14ac:dyDescent="0.2">
      <c r="B12" s="273">
        <v>1</v>
      </c>
      <c r="C12" s="67" t="s">
        <v>440</v>
      </c>
    </row>
    <row r="13" spans="1:3" ht="16.5" customHeight="1" x14ac:dyDescent="0.2">
      <c r="B13" s="273">
        <v>2</v>
      </c>
      <c r="C13" s="67" t="s">
        <v>441</v>
      </c>
    </row>
    <row r="14" spans="1:3" ht="16.5" customHeight="1" x14ac:dyDescent="0.2">
      <c r="B14" s="273">
        <v>3</v>
      </c>
      <c r="C14" s="67" t="s">
        <v>442</v>
      </c>
    </row>
    <row r="15" spans="1:3" ht="16.5" customHeight="1" x14ac:dyDescent="0.2">
      <c r="B15" s="273">
        <v>4</v>
      </c>
      <c r="C15" s="67" t="s">
        <v>443</v>
      </c>
    </row>
    <row r="16" spans="1:3" ht="16.5" customHeight="1" x14ac:dyDescent="0.2">
      <c r="B16" s="274"/>
      <c r="C16" s="67" t="s">
        <v>444</v>
      </c>
    </row>
    <row r="17" spans="2:3" ht="16.5" customHeight="1" x14ac:dyDescent="0.2">
      <c r="B17" s="272"/>
      <c r="C17" s="67" t="s">
        <v>40</v>
      </c>
    </row>
    <row r="18" spans="2:3" ht="33" customHeight="1" x14ac:dyDescent="0.2"/>
    <row r="19" spans="2:3" ht="16.5" customHeight="1" x14ac:dyDescent="0.2">
      <c r="B19" s="596" t="s">
        <v>434</v>
      </c>
      <c r="C19" s="596"/>
    </row>
    <row r="20" spans="2:3" ht="16.5" customHeight="1" x14ac:dyDescent="0.2">
      <c r="B20" s="252"/>
    </row>
    <row r="21" spans="2:3" ht="51" customHeight="1" x14ac:dyDescent="0.2">
      <c r="B21" s="597" t="s">
        <v>435</v>
      </c>
      <c r="C21" s="597"/>
    </row>
    <row r="22" spans="2:3" ht="38.25" customHeight="1" x14ac:dyDescent="0.2">
      <c r="B22" s="597" t="s">
        <v>445</v>
      </c>
      <c r="C22" s="597"/>
    </row>
    <row r="23" spans="2:3" x14ac:dyDescent="0.2"/>
    <row r="24" spans="2:3" x14ac:dyDescent="0.2"/>
    <row r="25" spans="2:3" x14ac:dyDescent="0.2"/>
    <row r="26" spans="2:3" x14ac:dyDescent="0.2"/>
    <row r="27" spans="2:3" x14ac:dyDescent="0.2"/>
    <row r="28" spans="2:3" x14ac:dyDescent="0.2"/>
    <row r="29" spans="2:3" x14ac:dyDescent="0.2"/>
    <row r="30" spans="2:3" x14ac:dyDescent="0.2"/>
    <row r="31" spans="2:3" x14ac:dyDescent="0.2"/>
    <row r="32" spans="2:3" x14ac:dyDescent="0.2"/>
    <row r="33" spans="3:3" x14ac:dyDescent="0.2"/>
    <row r="34" spans="3:3" x14ac:dyDescent="0.2"/>
    <row r="35" spans="3:3" x14ac:dyDescent="0.2"/>
    <row r="36" spans="3:3" x14ac:dyDescent="0.2"/>
    <row r="37" spans="3:3" x14ac:dyDescent="0.2"/>
    <row r="42" spans="3:3" hidden="1" x14ac:dyDescent="0.2">
      <c r="C42" s="584"/>
    </row>
  </sheetData>
  <sheetProtection algorithmName="SHA-512" hashValue="WCZ8QL3MSAFgBj5x5gj8Q/3SK9UqhNZq8M6Yzx3H6g3+68l+y+cyXGclVKKnGYrcsafD/MXo9rriv/ruIofHPw==" saltValue="X6r3grK8g0B0tMr1/A5O3g==" spinCount="100000" sheet="1" objects="1" scenarios="1" selectLockedCells="1" autoFilter="0"/>
  <mergeCells count="5">
    <mergeCell ref="B5:C5"/>
    <mergeCell ref="B19:C19"/>
    <mergeCell ref="B21:C21"/>
    <mergeCell ref="B22:C22"/>
    <mergeCell ref="B8:C8"/>
  </mergeCells>
  <hyperlinks>
    <hyperlink ref="B12:C12" location="'1 Gesetzliche Grundlagen'!A1" display="'1 Gesetzliche Grundlagen'!A1" xr:uid="{7E25EC56-2D70-48FF-9723-51580E08A7B0}"/>
    <hyperlink ref="B13:C13" location="'2 Kurzanleitung'!A1" display="'2 Kurzanleitung'!A1" xr:uid="{77AC31F7-7D4A-4493-9D31-FCA39B3179B9}"/>
    <hyperlink ref="B14:C14" location="'3 Bericht'!A1" display="'3 Bericht'!A1" xr:uid="{091FCE48-FB14-4B7B-B97D-ACB697B1CCD4}"/>
    <hyperlink ref="B15:C15" location="'4 Datengrundlage'!A1" display="'4 Datengrundlage'!A1" xr:uid="{BC6E1F2E-9AA9-44BB-8593-6BD739E971FA}"/>
    <hyperlink ref="C17" location="Anhang!A1" display="Anhang" xr:uid="{CDC322F9-FE9D-463D-A805-CE09F3737F56}"/>
    <hyperlink ref="C16" location="'Dachfläche (1)'!A1" display="Dachfläche(n)" xr:uid="{132929BF-59F3-4DE5-ACC1-BBD5F38CFAB9}"/>
    <hyperlink ref="B8:C8" r:id="rId1" location="Dienste--Infos" display="Das vorliegende Dokument beschreibt den aktuellen Stand der Praxis. Die Planungshilfen für die Vollzugspraxis in der Stadt Luzern werden nach Bedarf aktualisiert. Sie tragen deshalb eine Versionsnummer. Die aktuellen Versionen finden Sie auf der Webseite der Dienstabteilung Baubewilligungen der Stadt Luzern unter Dienste &amp; Infos &gt; «Energie/Luft/Lärm/Deponien UWS»." xr:uid="{1EA60C87-FC86-4A7B-BC2B-71A64BD3FBB5}"/>
  </hyperlinks>
  <pageMargins left="0.55118110236220474" right="0.51181102362204722" top="0.74803149606299213" bottom="0.70866141732283472" header="0.31496062992125984" footer="0.31496062992125984"/>
  <pageSetup paperSize="9" orientation="portrait" r:id="rId2"/>
  <headerFooter differentFirst="1">
    <oddHeader xml:space="preserve">&amp;L&amp;8         Planungshilfe Nachweis wirtschaftliche Unverhältnismässigkeit&amp;R&amp;8Stadt Luzern </oddHeader>
    <oddFooter>&amp;L&amp;8         &amp;P | &amp;N&amp;R&amp;8Nächste Revision 12.12.2026</oddFooter>
    <firstHeader xml:space="preserve">&amp;L&amp;G&amp;R&amp;8Stadt Luzern 
Umweltschutz 
Industriestrasse 6 
6005 Luzern 
www.umweltschutz.stadtluzern.ch 
Vorname Name 
T 041 208 00 00 
vorname.name@stadtluzern.ch </firstHeader>
    <firstFooter xml:space="preserve">&amp;L&amp;8         &amp;P | &amp;N&amp;R&amp;8Nächste Revision 12.12.2026 </firstFoot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CED2F-A5B5-4220-BCAE-91339098C31A}">
  <sheetPr codeName="Tabelle7"/>
  <dimension ref="A1:E64"/>
  <sheetViews>
    <sheetView showGridLines="0" view="pageLayout" topLeftCell="A10" zoomScaleNormal="100" zoomScaleSheetLayoutView="130" workbookViewId="0"/>
  </sheetViews>
  <sheetFormatPr baseColWidth="10" defaultColWidth="0" defaultRowHeight="16.5" customHeight="1" zeroHeight="1" x14ac:dyDescent="0.2"/>
  <cols>
    <col min="1" max="1" width="3.7109375" style="275" customWidth="1"/>
    <col min="2" max="3" width="4.140625" style="276" customWidth="1"/>
    <col min="4" max="4" width="81.5703125" style="276" customWidth="1"/>
    <col min="5" max="5" width="2.5703125" style="276" customWidth="1"/>
    <col min="6" max="16384" width="11.42578125" style="276" hidden="1"/>
  </cols>
  <sheetData>
    <row r="1" spans="2:4" ht="21" customHeight="1" x14ac:dyDescent="0.2">
      <c r="B1" s="592" t="s">
        <v>446</v>
      </c>
      <c r="C1" s="592"/>
      <c r="D1" s="592"/>
    </row>
    <row r="2" spans="2:4" ht="16.5" customHeight="1" x14ac:dyDescent="0.2"/>
    <row r="3" spans="2:4" ht="25.5" customHeight="1" x14ac:dyDescent="0.2">
      <c r="B3" s="593" t="s">
        <v>447</v>
      </c>
      <c r="C3" s="593"/>
      <c r="D3" s="593"/>
    </row>
    <row r="4" spans="2:4" ht="16.5" customHeight="1" x14ac:dyDescent="0.2"/>
    <row r="5" spans="2:4" ht="219.75" customHeight="1" x14ac:dyDescent="0.2">
      <c r="B5" s="593" t="s">
        <v>448</v>
      </c>
      <c r="C5" s="593"/>
      <c r="D5" s="593"/>
    </row>
    <row r="6" spans="2:4" ht="25.5" customHeight="1" x14ac:dyDescent="0.2">
      <c r="B6" s="593" t="s">
        <v>449</v>
      </c>
      <c r="C6" s="593"/>
      <c r="D6" s="593"/>
    </row>
    <row r="7" spans="2:4" ht="16.5" customHeight="1" x14ac:dyDescent="0.2"/>
    <row r="8" spans="2:4" ht="12.75" x14ac:dyDescent="0.2">
      <c r="B8" s="593" t="s">
        <v>450</v>
      </c>
      <c r="C8" s="593"/>
      <c r="D8" s="593"/>
    </row>
    <row r="9" spans="2:4" ht="12.75" x14ac:dyDescent="0.2">
      <c r="C9" s="276" t="s">
        <v>451</v>
      </c>
      <c r="D9" s="278" t="s">
        <v>453</v>
      </c>
    </row>
    <row r="10" spans="2:4" ht="25.5" x14ac:dyDescent="0.2">
      <c r="C10" s="276" t="s">
        <v>452</v>
      </c>
      <c r="D10" s="278" t="s">
        <v>454</v>
      </c>
    </row>
    <row r="11" spans="2:4" ht="38.25" x14ac:dyDescent="0.2">
      <c r="C11" s="276" t="s">
        <v>455</v>
      </c>
      <c r="D11" s="277" t="s">
        <v>464</v>
      </c>
    </row>
    <row r="12" spans="2:4" ht="12.75" x14ac:dyDescent="0.2">
      <c r="C12" s="276" t="s">
        <v>456</v>
      </c>
      <c r="D12" s="276" t="s">
        <v>457</v>
      </c>
    </row>
    <row r="13" spans="2:4" ht="51" x14ac:dyDescent="0.2">
      <c r="C13" s="276" t="s">
        <v>458</v>
      </c>
      <c r="D13" s="277" t="s">
        <v>459</v>
      </c>
    </row>
    <row r="14" spans="2:4" ht="38.25" x14ac:dyDescent="0.2">
      <c r="C14" s="276" t="s">
        <v>460</v>
      </c>
      <c r="D14" s="277" t="s">
        <v>461</v>
      </c>
    </row>
    <row r="15" spans="2:4" ht="51" x14ac:dyDescent="0.2">
      <c r="C15" s="276" t="s">
        <v>462</v>
      </c>
      <c r="D15" s="277" t="s">
        <v>463</v>
      </c>
    </row>
    <row r="16" spans="2:4" ht="16.5" customHeight="1" x14ac:dyDescent="0.2"/>
    <row r="17" spans="2:4" ht="50.25" customHeight="1" x14ac:dyDescent="0.2">
      <c r="B17" s="593" t="s">
        <v>465</v>
      </c>
      <c r="C17" s="593"/>
      <c r="D17" s="593"/>
    </row>
    <row r="18" spans="2:4" ht="16.5" customHeight="1" x14ac:dyDescent="0.2"/>
    <row r="19" spans="2:4" ht="12.75" x14ac:dyDescent="0.2">
      <c r="B19" s="594" t="s">
        <v>466</v>
      </c>
      <c r="C19" s="594"/>
      <c r="D19" s="594"/>
    </row>
    <row r="20" spans="2:4" ht="38.25" x14ac:dyDescent="0.2">
      <c r="C20" s="279" t="s">
        <v>467</v>
      </c>
      <c r="D20" s="277" t="s">
        <v>472</v>
      </c>
    </row>
    <row r="21" spans="2:4" ht="25.5" x14ac:dyDescent="0.2">
      <c r="C21" s="279" t="s">
        <v>468</v>
      </c>
      <c r="D21" s="277" t="s">
        <v>473</v>
      </c>
    </row>
    <row r="22" spans="2:4" ht="38.25" x14ac:dyDescent="0.2">
      <c r="C22" s="279" t="s">
        <v>469</v>
      </c>
      <c r="D22" s="277" t="s">
        <v>474</v>
      </c>
    </row>
    <row r="23" spans="2:4" ht="27" x14ac:dyDescent="0.2">
      <c r="C23" s="279" t="s">
        <v>470</v>
      </c>
      <c r="D23" s="277" t="s">
        <v>475</v>
      </c>
    </row>
    <row r="24" spans="2:4" ht="38.25" x14ac:dyDescent="0.2">
      <c r="C24" s="279" t="s">
        <v>471</v>
      </c>
      <c r="D24" s="277" t="s">
        <v>476</v>
      </c>
    </row>
    <row r="25" spans="2:4" ht="16.5" customHeight="1" x14ac:dyDescent="0.2"/>
    <row r="26" spans="2:4" ht="16.5" customHeight="1" x14ac:dyDescent="0.2"/>
    <row r="27" spans="2:4" ht="16.5" customHeight="1" x14ac:dyDescent="0.2"/>
    <row r="28" spans="2:4" ht="16.5" customHeight="1" x14ac:dyDescent="0.2"/>
    <row r="29" spans="2:4" ht="16.5" customHeight="1" x14ac:dyDescent="0.2"/>
    <row r="30" spans="2:4" ht="16.5" customHeight="1" x14ac:dyDescent="0.2"/>
    <row r="31" spans="2:4" ht="16.5" customHeight="1" x14ac:dyDescent="0.2"/>
    <row r="32" spans="2:4"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ht="16.5" customHeight="1" x14ac:dyDescent="0.2"/>
    <row r="50" ht="16.5" customHeight="1" x14ac:dyDescent="0.2"/>
    <row r="51" ht="16.5" customHeight="1" x14ac:dyDescent="0.2"/>
    <row r="52" ht="16.5" customHeight="1" x14ac:dyDescent="0.2"/>
    <row r="53" ht="16.5" customHeight="1" x14ac:dyDescent="0.2"/>
    <row r="54" ht="16.5" customHeight="1" x14ac:dyDescent="0.2"/>
    <row r="55" ht="16.5" customHeight="1" x14ac:dyDescent="0.2"/>
    <row r="56" ht="16.5" customHeight="1" x14ac:dyDescent="0.2"/>
    <row r="57" ht="16.5" customHeight="1" x14ac:dyDescent="0.2"/>
    <row r="58" ht="16.5" customHeight="1" x14ac:dyDescent="0.2"/>
    <row r="59" ht="16.5" customHeight="1" x14ac:dyDescent="0.2"/>
    <row r="60" ht="16.5" customHeight="1" x14ac:dyDescent="0.2"/>
    <row r="61" ht="16.5" customHeight="1" x14ac:dyDescent="0.2"/>
    <row r="62" ht="16.5" customHeight="1" x14ac:dyDescent="0.2"/>
    <row r="63" ht="16.5" customHeight="1" x14ac:dyDescent="0.2"/>
    <row r="64" ht="16.5" customHeight="1" x14ac:dyDescent="0.2"/>
  </sheetData>
  <sheetProtection algorithmName="SHA-512" hashValue="H2v+BlEr9BG2EvTyjJOoph8l2W9t8SBz2pQ3P16UxlBT9CsV9/Oj0j+EY90ExVcIJbo2T4kIeebilJfG5AxG/w==" saltValue="r7umm6XiHf/YT8oFwtXEBw==" spinCount="100000" sheet="1" objects="1" scenarios="1" selectLockedCells="1" autoFilter="0"/>
  <mergeCells count="7">
    <mergeCell ref="B1:D1"/>
    <mergeCell ref="B17:D17"/>
    <mergeCell ref="B19:D19"/>
    <mergeCell ref="B3:D3"/>
    <mergeCell ref="B5:D5"/>
    <mergeCell ref="B6:D6"/>
    <mergeCell ref="B8:D8"/>
  </mergeCells>
  <pageMargins left="0.55118110236220474" right="0.51181102362204722" top="0.74803149606299213" bottom="0.70866141732283472" header="0.31496062992125984" footer="0.31496062992125984"/>
  <pageSetup paperSize="9" orientation="portrait" r:id="rId1"/>
  <headerFooter>
    <oddHeader xml:space="preserve">&amp;L&amp;8         Planungshilfe Nachweis wirtschaftliche Unverhältnismässigkeit&amp;R&amp;8Stadt Luzern </oddHeader>
    <oddFooter xml:space="preserve">&amp;L&amp;8         &amp;P | &amp;N&amp;RNächste Revision 12.12.2026 </oddFooter>
  </headerFooter>
  <ignoredErrors>
    <ignoredError sqref="C20:C2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XFC92"/>
  <sheetViews>
    <sheetView showGridLines="0" view="pageLayout" zoomScaleNormal="145" zoomScaleSheetLayoutView="55" workbookViewId="0"/>
  </sheetViews>
  <sheetFormatPr baseColWidth="10" defaultColWidth="0" defaultRowHeight="12.75" zeroHeight="1" x14ac:dyDescent="0.2"/>
  <cols>
    <col min="1" max="1" width="3.7109375" style="257" customWidth="1"/>
    <col min="2" max="4" width="4.140625" customWidth="1"/>
    <col min="5" max="5" width="19" customWidth="1"/>
    <col min="6" max="6" width="4.140625" customWidth="1"/>
    <col min="7" max="7" width="38" customWidth="1"/>
    <col min="8" max="8" width="16.42578125" customWidth="1"/>
    <col min="9" max="9" width="2.5703125" customWidth="1"/>
    <col min="10" max="10" width="16.140625" hidden="1"/>
    <col min="11" max="16383" width="11.28515625" hidden="1"/>
    <col min="16384" max="16384" width="3.42578125" hidden="1"/>
  </cols>
  <sheetData>
    <row r="1" spans="1:10" s="16" customFormat="1" ht="21" customHeight="1" x14ac:dyDescent="0.25">
      <c r="A1" s="269"/>
      <c r="B1" s="606" t="s">
        <v>477</v>
      </c>
      <c r="C1" s="606"/>
      <c r="D1" s="606"/>
      <c r="E1" s="606"/>
      <c r="F1" s="606"/>
      <c r="G1" s="606"/>
      <c r="H1" s="606"/>
      <c r="I1"/>
      <c r="J1"/>
    </row>
    <row r="2" spans="1:10" s="256" customFormat="1" x14ac:dyDescent="0.2">
      <c r="A2" s="290"/>
      <c r="B2" s="280"/>
      <c r="C2" s="280"/>
      <c r="D2" s="280"/>
      <c r="E2" s="280"/>
      <c r="F2" s="280"/>
      <c r="G2" s="280"/>
      <c r="H2" s="280"/>
    </row>
    <row r="3" spans="1:10" s="256" customFormat="1" x14ac:dyDescent="0.2">
      <c r="A3" s="290"/>
      <c r="B3" s="599" t="s">
        <v>478</v>
      </c>
      <c r="C3" s="599"/>
      <c r="D3" s="599"/>
      <c r="E3" s="599"/>
      <c r="F3" s="599"/>
      <c r="G3" s="599"/>
      <c r="H3" s="599"/>
    </row>
    <row r="4" spans="1:10" x14ac:dyDescent="0.2">
      <c r="C4" t="s">
        <v>480</v>
      </c>
      <c r="D4" s="602" t="s">
        <v>479</v>
      </c>
      <c r="E4" s="602"/>
      <c r="F4" s="602"/>
      <c r="G4" s="602"/>
      <c r="H4" s="602"/>
    </row>
    <row r="5" spans="1:10" x14ac:dyDescent="0.2">
      <c r="C5" t="s">
        <v>480</v>
      </c>
      <c r="D5" s="607" t="s">
        <v>481</v>
      </c>
      <c r="E5" s="607"/>
      <c r="F5" s="607"/>
      <c r="G5" s="607"/>
      <c r="H5" s="607"/>
    </row>
    <row r="6" spans="1:10" x14ac:dyDescent="0.2">
      <c r="C6" t="s">
        <v>480</v>
      </c>
      <c r="D6" s="602" t="s">
        <v>482</v>
      </c>
      <c r="E6" s="602"/>
      <c r="F6" s="602"/>
      <c r="G6" s="602"/>
      <c r="H6" s="602"/>
    </row>
    <row r="7" spans="1:10" x14ac:dyDescent="0.2">
      <c r="C7" t="s">
        <v>480</v>
      </c>
      <c r="D7" s="602" t="s">
        <v>483</v>
      </c>
      <c r="E7" s="602"/>
      <c r="F7" s="602"/>
      <c r="G7" s="602"/>
      <c r="H7" s="602"/>
    </row>
    <row r="8" spans="1:10" s="16" customFormat="1" ht="16.5" x14ac:dyDescent="0.25">
      <c r="A8" s="269"/>
      <c r="B8" s="602" t="s">
        <v>484</v>
      </c>
      <c r="C8" s="602"/>
      <c r="D8" s="602"/>
      <c r="E8" s="602"/>
      <c r="F8" s="602"/>
      <c r="G8" s="602"/>
      <c r="H8" s="602"/>
    </row>
    <row r="9" spans="1:10" s="16" customFormat="1" ht="38.25" customHeight="1" x14ac:dyDescent="0.25">
      <c r="A9" s="269"/>
      <c r="B9" s="601" t="s">
        <v>485</v>
      </c>
      <c r="C9" s="601"/>
      <c r="D9" s="601"/>
      <c r="E9" s="601"/>
      <c r="F9" s="601"/>
      <c r="G9" s="601"/>
      <c r="H9" s="601"/>
    </row>
    <row r="10" spans="1:10" x14ac:dyDescent="0.2"/>
    <row r="11" spans="1:10" s="16" customFormat="1" ht="16.5" x14ac:dyDescent="0.25">
      <c r="A11" s="269"/>
      <c r="B11" s="602" t="s">
        <v>177</v>
      </c>
      <c r="C11" s="602"/>
      <c r="D11" s="602"/>
      <c r="E11" s="602"/>
      <c r="F11" s="602"/>
      <c r="G11" s="602"/>
      <c r="H11" s="602"/>
    </row>
    <row r="12" spans="1:10" s="16" customFormat="1" ht="17.25" customHeight="1" x14ac:dyDescent="0.25">
      <c r="A12" s="269"/>
      <c r="B12" s="605" t="s">
        <v>143</v>
      </c>
      <c r="C12" s="605"/>
      <c r="D12" s="605"/>
      <c r="E12" s="605"/>
      <c r="F12" s="127"/>
      <c r="G12" s="282" t="s">
        <v>399</v>
      </c>
      <c r="H12" s="292"/>
    </row>
    <row r="13" spans="1:10" x14ac:dyDescent="0.2"/>
    <row r="14" spans="1:10" x14ac:dyDescent="0.2">
      <c r="A14" s="268"/>
      <c r="B14" s="599" t="s">
        <v>486</v>
      </c>
      <c r="C14" s="599"/>
      <c r="D14" s="599"/>
      <c r="E14" s="599"/>
      <c r="F14" s="599"/>
      <c r="G14" s="599"/>
      <c r="H14" s="599"/>
    </row>
    <row r="15" spans="1:10" ht="15" x14ac:dyDescent="0.2">
      <c r="A15" s="268"/>
      <c r="B15" s="281"/>
      <c r="C15" s="1" t="s">
        <v>467</v>
      </c>
      <c r="D15" s="608" t="s">
        <v>487</v>
      </c>
      <c r="E15" s="608"/>
      <c r="F15" s="608"/>
      <c r="G15" s="608"/>
      <c r="H15" s="608"/>
    </row>
    <row r="16" spans="1:10" ht="25.5" customHeight="1" x14ac:dyDescent="0.2">
      <c r="A16" s="268"/>
      <c r="B16" s="281"/>
      <c r="C16" s="283" t="s">
        <v>468</v>
      </c>
      <c r="D16" s="601" t="s">
        <v>488</v>
      </c>
      <c r="E16" s="601"/>
      <c r="F16" s="601"/>
      <c r="G16" s="601"/>
      <c r="H16" s="601"/>
    </row>
    <row r="17" spans="1:8" ht="15" x14ac:dyDescent="0.2">
      <c r="A17" s="268"/>
      <c r="B17" s="281"/>
      <c r="C17" s="283" t="s">
        <v>469</v>
      </c>
      <c r="D17" s="608" t="s">
        <v>490</v>
      </c>
      <c r="E17" s="608"/>
      <c r="F17" s="608"/>
      <c r="G17" s="608"/>
      <c r="H17" s="608"/>
    </row>
    <row r="18" spans="1:8" ht="15" x14ac:dyDescent="0.2">
      <c r="A18" s="268"/>
      <c r="B18" s="281"/>
      <c r="C18" s="283" t="s">
        <v>470</v>
      </c>
      <c r="D18" s="608" t="s">
        <v>491</v>
      </c>
      <c r="E18" s="608"/>
      <c r="F18" s="608"/>
      <c r="G18" s="608"/>
      <c r="H18" s="608"/>
    </row>
    <row r="19" spans="1:8" ht="15" customHeight="1" x14ac:dyDescent="0.2">
      <c r="A19" s="268"/>
      <c r="B19" s="281"/>
      <c r="C19" s="283" t="s">
        <v>471</v>
      </c>
      <c r="D19" s="601" t="s">
        <v>495</v>
      </c>
      <c r="E19" s="601"/>
      <c r="F19" s="601"/>
      <c r="G19" s="601"/>
      <c r="H19" s="601"/>
    </row>
    <row r="20" spans="1:8" ht="103.5" customHeight="1" x14ac:dyDescent="0.2">
      <c r="A20" s="268"/>
      <c r="B20" s="281"/>
      <c r="C20" s="283"/>
      <c r="D20" s="140" t="s">
        <v>497</v>
      </c>
      <c r="E20" s="601" t="s">
        <v>496</v>
      </c>
      <c r="F20" s="601"/>
      <c r="G20" s="601"/>
      <c r="H20" s="601"/>
    </row>
    <row r="21" spans="1:8" ht="26.25" customHeight="1" x14ac:dyDescent="0.2">
      <c r="A21" s="268"/>
      <c r="B21" s="281"/>
      <c r="C21" s="283" t="s">
        <v>489</v>
      </c>
      <c r="D21" s="601" t="s">
        <v>492</v>
      </c>
      <c r="E21" s="601"/>
      <c r="F21" s="601"/>
      <c r="G21" s="601"/>
      <c r="H21" s="601"/>
    </row>
    <row r="22" spans="1:8" ht="138.75" customHeight="1" x14ac:dyDescent="0.2">
      <c r="A22" s="268"/>
      <c r="B22" s="281"/>
      <c r="C22" s="1"/>
      <c r="D22" s="1"/>
      <c r="E22" s="1"/>
      <c r="F22" s="1"/>
      <c r="G22" s="1"/>
      <c r="H22" s="1"/>
    </row>
    <row r="23" spans="1:8" ht="25.5" customHeight="1" x14ac:dyDescent="0.2">
      <c r="A23" s="268"/>
      <c r="B23" s="281"/>
      <c r="C23" s="283" t="s">
        <v>493</v>
      </c>
      <c r="D23" s="601" t="s">
        <v>494</v>
      </c>
      <c r="E23" s="601"/>
      <c r="F23" s="601"/>
      <c r="G23" s="601"/>
      <c r="H23" s="601"/>
    </row>
    <row r="24" spans="1:8" x14ac:dyDescent="0.2">
      <c r="B24" s="217"/>
      <c r="D24" t="s">
        <v>480</v>
      </c>
      <c r="E24" s="602" t="s">
        <v>498</v>
      </c>
      <c r="F24" s="602"/>
      <c r="G24" s="602"/>
      <c r="H24" s="602"/>
    </row>
    <row r="25" spans="1:8" ht="78" customHeight="1" x14ac:dyDescent="0.2">
      <c r="A25" s="268"/>
      <c r="B25" s="123"/>
      <c r="C25" s="123"/>
      <c r="D25" s="284" t="s">
        <v>480</v>
      </c>
      <c r="E25" s="603" t="s">
        <v>499</v>
      </c>
      <c r="F25" s="603"/>
      <c r="G25" s="603"/>
      <c r="H25" s="603"/>
    </row>
    <row r="26" spans="1:8" x14ac:dyDescent="0.2">
      <c r="A26" s="268"/>
      <c r="B26" s="123"/>
      <c r="C26" s="123"/>
      <c r="D26" s="284"/>
      <c r="E26" s="582"/>
      <c r="F26" s="582"/>
      <c r="G26" s="582"/>
      <c r="H26" s="582"/>
    </row>
    <row r="27" spans="1:8" x14ac:dyDescent="0.2">
      <c r="A27" s="268"/>
      <c r="B27" s="123"/>
      <c r="C27" s="123"/>
      <c r="D27" s="284"/>
      <c r="E27" s="582"/>
      <c r="F27" s="582"/>
      <c r="G27" s="582"/>
      <c r="H27" s="582"/>
    </row>
    <row r="28" spans="1:8" x14ac:dyDescent="0.2">
      <c r="A28" s="268"/>
      <c r="B28" s="123"/>
      <c r="C28" s="123"/>
      <c r="D28" s="284"/>
      <c r="E28" s="582"/>
      <c r="F28" s="582"/>
      <c r="G28" s="582"/>
      <c r="H28" s="582"/>
    </row>
    <row r="29" spans="1:8" x14ac:dyDescent="0.2">
      <c r="A29" s="268"/>
      <c r="B29" s="123"/>
      <c r="C29" s="123"/>
      <c r="D29" s="284"/>
      <c r="E29" s="582"/>
      <c r="F29" s="582"/>
      <c r="G29" s="582"/>
      <c r="H29" s="582"/>
    </row>
    <row r="30" spans="1:8" x14ac:dyDescent="0.2">
      <c r="A30" s="268"/>
      <c r="B30" s="123"/>
      <c r="C30" s="123"/>
      <c r="D30" s="284"/>
      <c r="E30" s="582"/>
      <c r="F30" s="582"/>
      <c r="G30" s="582"/>
      <c r="H30" s="582"/>
    </row>
    <row r="31" spans="1:8" ht="12.75" customHeight="1" x14ac:dyDescent="0.2">
      <c r="A31" s="268"/>
      <c r="B31" s="123"/>
      <c r="C31" s="283" t="s">
        <v>500</v>
      </c>
      <c r="D31" s="601" t="s">
        <v>501</v>
      </c>
      <c r="E31" s="601"/>
      <c r="F31" s="601"/>
      <c r="G31" s="601"/>
      <c r="H31" s="601"/>
    </row>
    <row r="32" spans="1:8" ht="25.5" customHeight="1" x14ac:dyDescent="0.2">
      <c r="A32" s="268"/>
      <c r="B32" s="123"/>
      <c r="D32" s="1" t="s">
        <v>480</v>
      </c>
      <c r="E32" s="601" t="s">
        <v>502</v>
      </c>
      <c r="F32" s="601"/>
      <c r="G32" s="601"/>
      <c r="H32" s="601"/>
    </row>
    <row r="33" spans="1:8" ht="25.5" customHeight="1" x14ac:dyDescent="0.2">
      <c r="A33" s="268"/>
      <c r="B33" s="123"/>
      <c r="D33" s="1" t="s">
        <v>480</v>
      </c>
      <c r="E33" s="601" t="s">
        <v>505</v>
      </c>
      <c r="F33" s="601"/>
      <c r="G33" s="601"/>
      <c r="H33" s="601"/>
    </row>
    <row r="34" spans="1:8" ht="25.5" customHeight="1" x14ac:dyDescent="0.2">
      <c r="A34" s="268"/>
      <c r="B34" s="123"/>
      <c r="D34" s="1" t="s">
        <v>480</v>
      </c>
      <c r="E34" s="601" t="s">
        <v>503</v>
      </c>
      <c r="F34" s="601"/>
      <c r="G34" s="601"/>
      <c r="H34" s="601"/>
    </row>
    <row r="35" spans="1:8" ht="25.5" customHeight="1" x14ac:dyDescent="0.2">
      <c r="A35" s="268"/>
      <c r="B35" s="123"/>
      <c r="C35" s="283" t="s">
        <v>504</v>
      </c>
      <c r="D35" s="601" t="s">
        <v>506</v>
      </c>
      <c r="E35" s="601"/>
      <c r="F35" s="601"/>
      <c r="G35" s="601"/>
      <c r="H35" s="601"/>
    </row>
    <row r="36" spans="1:8" s="286" customFormat="1" ht="17.25" x14ac:dyDescent="0.25">
      <c r="A36" s="291"/>
      <c r="B36" s="285"/>
      <c r="C36" s="285"/>
      <c r="D36" s="285"/>
      <c r="E36" s="285"/>
      <c r="F36" s="285"/>
      <c r="G36" s="285"/>
      <c r="H36" s="285"/>
    </row>
    <row r="37" spans="1:8" s="286" customFormat="1" ht="17.25" x14ac:dyDescent="0.25">
      <c r="A37" s="291"/>
      <c r="B37" s="604" t="s">
        <v>507</v>
      </c>
      <c r="C37" s="604"/>
      <c r="D37" s="604"/>
      <c r="E37" s="604"/>
      <c r="F37" s="604"/>
      <c r="G37" s="604"/>
      <c r="H37" s="604"/>
    </row>
    <row r="38" spans="1:8" s="256" customFormat="1" x14ac:dyDescent="0.2">
      <c r="A38" s="290"/>
      <c r="B38" s="280"/>
      <c r="C38" s="280"/>
      <c r="D38" s="280"/>
      <c r="E38" s="280"/>
      <c r="F38" s="280"/>
      <c r="G38" s="280"/>
      <c r="H38" s="280"/>
    </row>
    <row r="39" spans="1:8" s="256" customFormat="1" x14ac:dyDescent="0.2">
      <c r="A39" s="290"/>
      <c r="B39" s="599" t="s">
        <v>508</v>
      </c>
      <c r="C39" s="599"/>
      <c r="D39" s="599"/>
      <c r="E39" s="599"/>
      <c r="F39" s="599"/>
      <c r="G39" s="599"/>
      <c r="H39" s="599"/>
    </row>
    <row r="40" spans="1:8" ht="63.75" customHeight="1" x14ac:dyDescent="0.2">
      <c r="A40" s="268"/>
      <c r="B40" s="600" t="s">
        <v>146</v>
      </c>
      <c r="C40" s="600"/>
      <c r="D40" s="600"/>
      <c r="E40" s="600"/>
      <c r="F40" s="600"/>
      <c r="G40" s="600"/>
      <c r="H40" s="600"/>
    </row>
    <row r="41" spans="1:8" ht="39.75" customHeight="1" x14ac:dyDescent="0.2">
      <c r="A41" s="268"/>
      <c r="B41" s="128"/>
      <c r="C41" s="129"/>
      <c r="D41" s="129"/>
      <c r="E41" s="129"/>
      <c r="F41" s="129"/>
      <c r="G41" s="129"/>
      <c r="H41" s="129"/>
    </row>
    <row r="42" spans="1:8" s="256" customFormat="1" x14ac:dyDescent="0.2">
      <c r="A42" s="290"/>
      <c r="B42" s="288"/>
      <c r="C42" s="289"/>
      <c r="D42" s="289"/>
      <c r="E42" s="289"/>
      <c r="F42" s="289"/>
      <c r="G42" s="289"/>
      <c r="H42" s="289"/>
    </row>
    <row r="43" spans="1:8" s="256" customFormat="1" x14ac:dyDescent="0.2">
      <c r="A43" s="290"/>
      <c r="B43" s="599" t="s">
        <v>509</v>
      </c>
      <c r="C43" s="599"/>
      <c r="D43" s="599"/>
      <c r="E43" s="599"/>
      <c r="F43" s="599"/>
      <c r="G43" s="599"/>
      <c r="H43" s="599"/>
    </row>
    <row r="44" spans="1:8" s="256" customFormat="1" x14ac:dyDescent="0.2">
      <c r="A44" s="290"/>
      <c r="B44" s="599" t="s">
        <v>150</v>
      </c>
      <c r="C44" s="599"/>
      <c r="D44" s="599"/>
      <c r="E44" s="599"/>
      <c r="F44" s="599"/>
      <c r="G44" s="599"/>
      <c r="H44" s="599"/>
    </row>
    <row r="45" spans="1:8" ht="25.5" customHeight="1" x14ac:dyDescent="0.2">
      <c r="A45" s="268"/>
      <c r="B45" s="600" t="s">
        <v>510</v>
      </c>
      <c r="C45" s="600"/>
      <c r="D45" s="600"/>
      <c r="E45" s="600"/>
      <c r="F45" s="600"/>
      <c r="G45" s="600"/>
      <c r="H45" s="600"/>
    </row>
    <row r="46" spans="1:8" ht="143.25" customHeight="1" x14ac:dyDescent="0.2">
      <c r="A46" s="268"/>
      <c r="B46" s="126"/>
      <c r="C46" s="125"/>
      <c r="D46" s="125"/>
      <c r="E46" s="125"/>
      <c r="F46" s="125"/>
      <c r="G46" s="125"/>
      <c r="H46" s="125"/>
    </row>
    <row r="47" spans="1:8" s="256" customFormat="1" x14ac:dyDescent="0.2">
      <c r="A47" s="290"/>
      <c r="B47" s="280"/>
      <c r="C47" s="280"/>
      <c r="D47" s="280"/>
      <c r="E47" s="280"/>
      <c r="F47" s="280"/>
      <c r="G47" s="280"/>
      <c r="H47" s="280"/>
    </row>
    <row r="48" spans="1:8" s="256" customFormat="1" x14ac:dyDescent="0.2">
      <c r="A48" s="290"/>
      <c r="B48" s="599" t="s">
        <v>401</v>
      </c>
      <c r="C48" s="599"/>
      <c r="D48" s="599"/>
      <c r="E48" s="599"/>
      <c r="F48" s="599"/>
      <c r="G48" s="599"/>
      <c r="H48" s="599"/>
    </row>
    <row r="49" spans="1:8" ht="38.25" customHeight="1" x14ac:dyDescent="0.2">
      <c r="B49" s="600" t="s">
        <v>513</v>
      </c>
      <c r="C49" s="600"/>
      <c r="D49" s="600"/>
      <c r="E49" s="600"/>
      <c r="F49" s="600"/>
      <c r="G49" s="600"/>
      <c r="H49" s="600"/>
    </row>
    <row r="50" spans="1:8" ht="63.75" customHeight="1" x14ac:dyDescent="0.2">
      <c r="C50" s="287" t="s">
        <v>511</v>
      </c>
      <c r="D50" s="600" t="s">
        <v>512</v>
      </c>
      <c r="E50" s="600"/>
      <c r="F50" s="600"/>
      <c r="G50" s="600"/>
      <c r="H50" s="600"/>
    </row>
    <row r="51" spans="1:8" x14ac:dyDescent="0.2">
      <c r="C51" s="287"/>
      <c r="D51" s="287"/>
      <c r="E51" s="287"/>
      <c r="F51" s="287"/>
      <c r="G51" s="287"/>
      <c r="H51" s="287"/>
    </row>
    <row r="52" spans="1:8" s="256" customFormat="1" x14ac:dyDescent="0.2">
      <c r="A52" s="290"/>
      <c r="B52" s="599" t="s">
        <v>514</v>
      </c>
      <c r="C52" s="599"/>
      <c r="D52" s="599"/>
      <c r="E52" s="599"/>
      <c r="F52" s="599"/>
      <c r="G52" s="599"/>
      <c r="H52" s="599"/>
    </row>
    <row r="53" spans="1:8" ht="25.5" customHeight="1" x14ac:dyDescent="0.2">
      <c r="A53" s="268"/>
      <c r="B53" s="287"/>
      <c r="C53" s="287" t="s">
        <v>480</v>
      </c>
      <c r="D53" s="600" t="s">
        <v>515</v>
      </c>
      <c r="E53" s="600"/>
      <c r="F53" s="600"/>
      <c r="G53" s="600"/>
      <c r="H53" s="600"/>
    </row>
    <row r="54" spans="1:8" ht="12.75" customHeight="1" x14ac:dyDescent="0.2">
      <c r="A54" s="268"/>
      <c r="B54" s="287"/>
      <c r="C54" s="287" t="s">
        <v>480</v>
      </c>
      <c r="D54" s="600" t="s">
        <v>516</v>
      </c>
      <c r="E54" s="600"/>
      <c r="F54" s="600"/>
      <c r="G54" s="600"/>
      <c r="H54" s="600"/>
    </row>
    <row r="55" spans="1:8" ht="15" customHeight="1" x14ac:dyDescent="0.2">
      <c r="A55" s="268"/>
      <c r="B55" s="287"/>
      <c r="C55" s="287" t="s">
        <v>480</v>
      </c>
      <c r="D55" s="600" t="s">
        <v>517</v>
      </c>
      <c r="E55" s="600"/>
      <c r="F55" s="600"/>
      <c r="G55" s="600"/>
      <c r="H55" s="600"/>
    </row>
    <row r="56" spans="1:8" ht="171.75" customHeight="1" x14ac:dyDescent="0.25">
      <c r="A56" s="268"/>
      <c r="B56" s="124"/>
      <c r="C56" s="123"/>
      <c r="D56" s="123"/>
      <c r="E56" s="123"/>
      <c r="F56" s="123"/>
      <c r="G56" s="123"/>
      <c r="H56" s="123"/>
    </row>
    <row r="57" spans="1:8" ht="18" x14ac:dyDescent="0.25">
      <c r="A57" s="268"/>
      <c r="B57" s="124"/>
      <c r="C57" s="123"/>
      <c r="D57" s="123"/>
      <c r="E57" s="123"/>
      <c r="F57" s="123"/>
      <c r="G57" s="123"/>
      <c r="H57" s="123"/>
    </row>
    <row r="58" spans="1:8" x14ac:dyDescent="0.2">
      <c r="A58" s="268"/>
      <c r="B58" s="599" t="s">
        <v>518</v>
      </c>
      <c r="C58" s="599"/>
      <c r="D58" s="599"/>
      <c r="E58" s="599"/>
      <c r="F58" s="599"/>
      <c r="G58" s="599"/>
      <c r="H58" s="599"/>
    </row>
    <row r="59" spans="1:8" ht="12.75" customHeight="1" x14ac:dyDescent="0.2">
      <c r="A59" s="268"/>
      <c r="B59" s="287"/>
      <c r="C59" s="140" t="s">
        <v>480</v>
      </c>
      <c r="D59" s="601" t="s">
        <v>519</v>
      </c>
      <c r="E59" s="601"/>
      <c r="F59" s="601"/>
      <c r="G59" s="601"/>
      <c r="H59" s="601"/>
    </row>
    <row r="60" spans="1:8" ht="25.5" customHeight="1" x14ac:dyDescent="0.2">
      <c r="A60" s="268"/>
      <c r="B60" s="287"/>
      <c r="C60" s="140" t="s">
        <v>480</v>
      </c>
      <c r="D60" s="601" t="s">
        <v>520</v>
      </c>
      <c r="E60" s="601"/>
      <c r="F60" s="601"/>
      <c r="G60" s="601"/>
      <c r="H60" s="601"/>
    </row>
    <row r="61" spans="1:8" ht="25.5" customHeight="1" x14ac:dyDescent="0.2">
      <c r="A61" s="268"/>
      <c r="B61" s="287"/>
      <c r="C61" s="140" t="s">
        <v>480</v>
      </c>
      <c r="D61" s="601" t="s">
        <v>521</v>
      </c>
      <c r="E61" s="601"/>
      <c r="F61" s="601"/>
      <c r="G61" s="601"/>
      <c r="H61" s="601"/>
    </row>
    <row r="62" spans="1:8" ht="25.5" customHeight="1" x14ac:dyDescent="0.2">
      <c r="A62" s="268"/>
      <c r="B62" s="287"/>
      <c r="C62" s="140" t="s">
        <v>480</v>
      </c>
      <c r="D62" s="601" t="s">
        <v>522</v>
      </c>
      <c r="E62" s="601"/>
      <c r="F62" s="601"/>
      <c r="G62" s="601"/>
      <c r="H62" s="601"/>
    </row>
    <row r="63" spans="1:8" ht="12.75" customHeight="1" x14ac:dyDescent="0.2">
      <c r="A63" s="268"/>
      <c r="B63" s="287"/>
      <c r="C63" s="140" t="s">
        <v>480</v>
      </c>
      <c r="D63" s="601" t="s">
        <v>523</v>
      </c>
      <c r="E63" s="601"/>
      <c r="F63" s="601"/>
      <c r="G63" s="601"/>
      <c r="H63" s="601"/>
    </row>
    <row r="64" spans="1:8" ht="12.75" customHeight="1" x14ac:dyDescent="0.2">
      <c r="A64" s="268"/>
      <c r="B64" s="287"/>
      <c r="C64" s="140" t="s">
        <v>480</v>
      </c>
      <c r="D64" s="601" t="s">
        <v>524</v>
      </c>
      <c r="E64" s="601"/>
      <c r="F64" s="601"/>
      <c r="G64" s="601"/>
      <c r="H64" s="601"/>
    </row>
    <row r="65" spans="1:8" ht="25.5" customHeight="1" x14ac:dyDescent="0.2">
      <c r="A65" s="268"/>
      <c r="B65" s="287"/>
      <c r="C65" s="140" t="s">
        <v>480</v>
      </c>
      <c r="D65" s="601" t="s">
        <v>525</v>
      </c>
      <c r="E65" s="601"/>
      <c r="F65" s="601"/>
      <c r="G65" s="601"/>
      <c r="H65" s="601"/>
    </row>
    <row r="66" spans="1:8" ht="25.5" customHeight="1" x14ac:dyDescent="0.2">
      <c r="A66" s="268"/>
      <c r="B66" s="287"/>
      <c r="C66" s="140" t="s">
        <v>480</v>
      </c>
      <c r="D66" s="601" t="s">
        <v>526</v>
      </c>
      <c r="E66" s="601"/>
      <c r="F66" s="601"/>
      <c r="G66" s="601"/>
      <c r="H66" s="601"/>
    </row>
    <row r="67" spans="1:8" ht="232.5" customHeight="1" x14ac:dyDescent="0.2">
      <c r="A67" s="268"/>
      <c r="B67" s="287"/>
      <c r="C67" s="140"/>
      <c r="D67" s="140"/>
      <c r="E67" s="140"/>
      <c r="F67" s="140"/>
      <c r="G67" s="140"/>
      <c r="H67" s="140"/>
    </row>
    <row r="68" spans="1:8" x14ac:dyDescent="0.2">
      <c r="A68" s="268"/>
      <c r="B68" s="287"/>
      <c r="C68" s="140"/>
      <c r="D68" s="140"/>
      <c r="E68" s="140"/>
      <c r="F68" s="140"/>
      <c r="G68" s="140"/>
      <c r="H68" s="140"/>
    </row>
    <row r="69" spans="1:8" s="256" customFormat="1" x14ac:dyDescent="0.2">
      <c r="A69" s="290"/>
      <c r="B69" s="599" t="s">
        <v>527</v>
      </c>
      <c r="C69" s="599"/>
      <c r="D69" s="599"/>
      <c r="E69" s="599"/>
      <c r="F69" s="599"/>
      <c r="G69" s="599"/>
      <c r="H69" s="599"/>
    </row>
    <row r="70" spans="1:8" ht="25.5" customHeight="1" x14ac:dyDescent="0.2">
      <c r="A70" s="268"/>
      <c r="C70" s="1" t="s">
        <v>480</v>
      </c>
      <c r="D70" s="600" t="s">
        <v>529</v>
      </c>
      <c r="E70" s="600"/>
      <c r="F70" s="600"/>
      <c r="G70" s="600"/>
      <c r="H70" s="600"/>
    </row>
    <row r="71" spans="1:8" ht="38.25" customHeight="1" x14ac:dyDescent="0.2">
      <c r="A71" s="268"/>
      <c r="C71" s="1" t="s">
        <v>480</v>
      </c>
      <c r="D71" s="600" t="s">
        <v>530</v>
      </c>
      <c r="E71" s="600"/>
      <c r="F71" s="600"/>
      <c r="G71" s="600"/>
      <c r="H71" s="600"/>
    </row>
    <row r="72" spans="1:8" ht="51" customHeight="1" x14ac:dyDescent="0.2">
      <c r="A72" s="268"/>
      <c r="C72" s="1" t="s">
        <v>480</v>
      </c>
      <c r="D72" s="600" t="s">
        <v>531</v>
      </c>
      <c r="E72" s="600"/>
      <c r="F72" s="600"/>
      <c r="G72" s="600"/>
      <c r="H72" s="600"/>
    </row>
    <row r="73" spans="1:8" s="256" customFormat="1" x14ac:dyDescent="0.2">
      <c r="A73" s="290"/>
      <c r="B73" s="280"/>
      <c r="C73" s="280"/>
      <c r="D73" s="280"/>
      <c r="E73" s="280"/>
      <c r="F73" s="280"/>
      <c r="G73" s="280"/>
      <c r="H73" s="280"/>
    </row>
    <row r="74" spans="1:8" s="256" customFormat="1" x14ac:dyDescent="0.2">
      <c r="A74" s="290"/>
      <c r="B74" s="599" t="s">
        <v>528</v>
      </c>
      <c r="C74" s="599"/>
      <c r="D74" s="599"/>
      <c r="E74" s="599"/>
      <c r="F74" s="599"/>
      <c r="G74" s="599"/>
      <c r="H74" s="599"/>
    </row>
    <row r="75" spans="1:8" ht="38.25" customHeight="1" x14ac:dyDescent="0.2">
      <c r="A75" s="268"/>
      <c r="B75" s="600" t="s">
        <v>532</v>
      </c>
      <c r="C75" s="600"/>
      <c r="D75" s="600"/>
      <c r="E75" s="600"/>
      <c r="F75" s="600"/>
      <c r="G75" s="600"/>
      <c r="H75" s="600"/>
    </row>
    <row r="76" spans="1:8" ht="76.5" customHeight="1" x14ac:dyDescent="0.2">
      <c r="A76" s="268"/>
      <c r="B76" s="281"/>
      <c r="C76" s="281"/>
      <c r="D76" s="281"/>
      <c r="E76" s="281"/>
      <c r="F76" s="281"/>
      <c r="G76" s="281"/>
      <c r="H76" s="281"/>
    </row>
    <row r="77" spans="1:8" ht="15" x14ac:dyDescent="0.2">
      <c r="A77" s="123"/>
      <c r="B77" s="281"/>
      <c r="C77" s="281"/>
      <c r="D77" s="281"/>
      <c r="E77" s="281"/>
      <c r="F77" s="281"/>
      <c r="G77" s="281"/>
      <c r="H77" s="281"/>
    </row>
    <row r="78" spans="1:8" s="256" customFormat="1" x14ac:dyDescent="0.2">
      <c r="A78" s="280"/>
      <c r="B78" s="599" t="s">
        <v>533</v>
      </c>
      <c r="C78" s="599"/>
      <c r="D78" s="599"/>
      <c r="E78" s="599"/>
      <c r="F78" s="599"/>
      <c r="G78" s="599"/>
      <c r="H78" s="599"/>
    </row>
    <row r="79" spans="1:8" ht="42" customHeight="1" x14ac:dyDescent="0.2">
      <c r="A79" s="268"/>
      <c r="B79" s="600" t="s">
        <v>534</v>
      </c>
      <c r="C79" s="600"/>
      <c r="D79" s="600"/>
      <c r="E79" s="600"/>
      <c r="F79" s="600"/>
      <c r="G79" s="600"/>
      <c r="H79" s="600"/>
    </row>
    <row r="80" spans="1:8" ht="51" customHeight="1" x14ac:dyDescent="0.2">
      <c r="A80" s="268"/>
      <c r="B80" s="600" t="s">
        <v>408</v>
      </c>
      <c r="C80" s="600"/>
      <c r="D80" s="600"/>
      <c r="E80" s="600"/>
      <c r="F80" s="600"/>
      <c r="G80" s="600"/>
      <c r="H80" s="600"/>
    </row>
    <row r="81" spans="1:8" ht="51" customHeight="1" x14ac:dyDescent="0.2">
      <c r="A81" s="268"/>
      <c r="B81" s="600" t="s">
        <v>535</v>
      </c>
      <c r="C81" s="600"/>
      <c r="D81" s="600"/>
      <c r="E81" s="600"/>
      <c r="F81" s="600"/>
      <c r="G81" s="600"/>
      <c r="H81" s="600"/>
    </row>
    <row r="82" spans="1:8" ht="105" customHeight="1" x14ac:dyDescent="0.2">
      <c r="A82" s="268"/>
      <c r="B82" s="126"/>
      <c r="C82" s="125"/>
      <c r="D82" s="125"/>
      <c r="E82" s="125"/>
      <c r="F82" s="125"/>
      <c r="G82" s="125"/>
      <c r="H82" s="125"/>
    </row>
    <row r="83" spans="1:8" s="256" customFormat="1" x14ac:dyDescent="0.2">
      <c r="A83" s="280"/>
      <c r="B83" s="280"/>
      <c r="C83" s="280"/>
      <c r="D83" s="280"/>
      <c r="E83" s="280"/>
      <c r="F83" s="280"/>
      <c r="G83" s="280"/>
      <c r="H83" s="280"/>
    </row>
    <row r="84" spans="1:8" s="256" customFormat="1" x14ac:dyDescent="0.2">
      <c r="A84" s="280"/>
      <c r="B84" s="599" t="s">
        <v>536</v>
      </c>
      <c r="C84" s="599"/>
      <c r="D84" s="599"/>
      <c r="E84" s="599"/>
      <c r="F84" s="599"/>
      <c r="G84" s="599"/>
      <c r="H84" s="599"/>
    </row>
    <row r="85" spans="1:8" ht="115.5" customHeight="1" x14ac:dyDescent="0.2">
      <c r="A85" s="268"/>
      <c r="B85" s="600" t="s">
        <v>409</v>
      </c>
      <c r="C85" s="600"/>
      <c r="D85" s="600"/>
      <c r="E85" s="600"/>
      <c r="F85" s="600"/>
      <c r="G85" s="600"/>
      <c r="H85" s="600"/>
    </row>
    <row r="86" spans="1:8" ht="145.5" customHeight="1" x14ac:dyDescent="0.2">
      <c r="A86" s="268"/>
      <c r="B86" s="123"/>
      <c r="C86" s="123"/>
      <c r="D86" s="123"/>
      <c r="E86" s="123"/>
      <c r="F86" s="123"/>
      <c r="G86" s="123"/>
      <c r="H86" s="123"/>
    </row>
    <row r="87" spans="1:8" ht="15" customHeight="1" x14ac:dyDescent="0.2">
      <c r="A87" s="268"/>
      <c r="B87" s="123"/>
      <c r="C87" s="123"/>
      <c r="D87" s="130"/>
      <c r="E87" s="130"/>
      <c r="F87" s="130"/>
      <c r="G87" s="130"/>
      <c r="H87" s="130"/>
    </row>
    <row r="88" spans="1:8" x14ac:dyDescent="0.2"/>
    <row r="89" spans="1:8" x14ac:dyDescent="0.2"/>
    <row r="90" spans="1:8" x14ac:dyDescent="0.2"/>
    <row r="91" spans="1:8" x14ac:dyDescent="0.2"/>
    <row r="92" spans="1:8" x14ac:dyDescent="0.2"/>
  </sheetData>
  <sheetProtection algorithmName="SHA-512" hashValue="+MliOjS3HA75denMbkrT9dgyjdOwPex00TzJEiK54Y2w6RNuUFWGIGarood2m/itWcPuXq6qeuzBX5oPr5RvjQ==" saltValue="vKq8JIErwdlKlRqOtKUIAg==" spinCount="100000" sheet="1" objects="1" scenarios="1" selectLockedCells="1" autoFilter="0"/>
  <mergeCells count="60">
    <mergeCell ref="B79:H79"/>
    <mergeCell ref="B80:H80"/>
    <mergeCell ref="B81:H81"/>
    <mergeCell ref="B84:H84"/>
    <mergeCell ref="B85:H85"/>
    <mergeCell ref="D71:H71"/>
    <mergeCell ref="D72:H72"/>
    <mergeCell ref="B74:H74"/>
    <mergeCell ref="B75:H75"/>
    <mergeCell ref="B78:H78"/>
    <mergeCell ref="D64:H64"/>
    <mergeCell ref="D65:H65"/>
    <mergeCell ref="D66:H66"/>
    <mergeCell ref="B69:H69"/>
    <mergeCell ref="D70:H70"/>
    <mergeCell ref="B14:H14"/>
    <mergeCell ref="D15:H15"/>
    <mergeCell ref="D16:H16"/>
    <mergeCell ref="D17:H17"/>
    <mergeCell ref="D18:H18"/>
    <mergeCell ref="B1:H1"/>
    <mergeCell ref="B3:H3"/>
    <mergeCell ref="D4:H4"/>
    <mergeCell ref="D5:H5"/>
    <mergeCell ref="D6:H6"/>
    <mergeCell ref="B12:E12"/>
    <mergeCell ref="D7:H7"/>
    <mergeCell ref="B8:H8"/>
    <mergeCell ref="B9:H9"/>
    <mergeCell ref="B11:H11"/>
    <mergeCell ref="D35:H35"/>
    <mergeCell ref="B37:H37"/>
    <mergeCell ref="B39:H39"/>
    <mergeCell ref="B40:H40"/>
    <mergeCell ref="B43:H43"/>
    <mergeCell ref="E25:H25"/>
    <mergeCell ref="D31:H31"/>
    <mergeCell ref="E32:H32"/>
    <mergeCell ref="E33:H33"/>
    <mergeCell ref="E34:H34"/>
    <mergeCell ref="D19:H19"/>
    <mergeCell ref="E20:H20"/>
    <mergeCell ref="D21:H21"/>
    <mergeCell ref="D23:H23"/>
    <mergeCell ref="E24:H24"/>
    <mergeCell ref="B44:H44"/>
    <mergeCell ref="B45:H45"/>
    <mergeCell ref="B48:H48"/>
    <mergeCell ref="B49:H49"/>
    <mergeCell ref="D63:H63"/>
    <mergeCell ref="D50:H50"/>
    <mergeCell ref="B52:H52"/>
    <mergeCell ref="D53:H53"/>
    <mergeCell ref="D54:H54"/>
    <mergeCell ref="D55:H55"/>
    <mergeCell ref="B58:H58"/>
    <mergeCell ref="D59:H59"/>
    <mergeCell ref="D60:H60"/>
    <mergeCell ref="D61:H61"/>
    <mergeCell ref="D62:H62"/>
  </mergeCells>
  <pageMargins left="0.55118110236220474" right="0.51181102362204722" top="0.74803149606299213" bottom="0.70866141732283472" header="0.31496062992125984" footer="0.31496062992125984"/>
  <pageSetup paperSize="9" fitToWidth="0" fitToHeight="0" orientation="portrait" r:id="rId1"/>
  <headerFooter>
    <oddHeader xml:space="preserve">&amp;L&amp;8         Planungshilfe Nachweis wirtschaftliche Unverhältnismässigkeit&amp;R&amp;8Stadt Luzern </oddHeader>
    <oddFooter xml:space="preserve">&amp;L&amp;8         &amp;P | &amp;N&amp;R&amp;8Nächste Revision 12.12.2026 </oddFooter>
    <firstHeader>&amp;L&amp;8         Planungshilfe Nachweis wirtschaftliche Unverhältnismässigkeit</firstHeader>
  </headerFooter>
  <ignoredErrors>
    <ignoredError sqref="C21 C23 C15:C19 C31 C35"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XFC114"/>
  <sheetViews>
    <sheetView showGridLines="0" view="pageLayout" topLeftCell="A84" zoomScale="85" zoomScaleNormal="80" zoomScalePageLayoutView="85" workbookViewId="0">
      <selection activeCell="D2" sqref="D2:I2"/>
    </sheetView>
  </sheetViews>
  <sheetFormatPr baseColWidth="10" defaultColWidth="0" defaultRowHeight="12.75" zeroHeight="1" x14ac:dyDescent="0.2"/>
  <cols>
    <col min="1" max="1" width="2.140625" style="257" customWidth="1"/>
    <col min="2" max="2" width="4.7109375" customWidth="1"/>
    <col min="3" max="3" width="24.28515625" customWidth="1"/>
    <col min="4" max="4" width="9.7109375" customWidth="1"/>
    <col min="5" max="9" width="7" customWidth="1"/>
    <col min="10" max="10" width="6.85546875" customWidth="1"/>
    <col min="11" max="14" width="11.85546875" customWidth="1"/>
    <col min="15" max="15" width="6.28515625" customWidth="1"/>
    <col min="16" max="17" width="3.85546875" customWidth="1"/>
    <col min="18" max="18" width="11.42578125" hidden="1"/>
    <col min="19" max="19" width="11.42578125" style="43" hidden="1"/>
    <col min="20" max="20" width="22" style="43" hidden="1"/>
    <col min="21" max="21" width="8.140625" style="191" hidden="1"/>
    <col min="22" max="33" width="9.42578125" style="43" hidden="1"/>
    <col min="34" max="34" width="18" style="43" hidden="1"/>
    <col min="35" max="36" width="9.42578125" style="43" hidden="1"/>
    <col min="37" max="37" width="16.42578125" style="43" hidden="1"/>
    <col min="38" max="41" width="9.42578125" style="43" hidden="1"/>
    <col min="42" max="42" width="8.42578125" style="43" hidden="1"/>
    <col min="43" max="43" width="8.140625" style="43" hidden="1"/>
    <col min="44" max="44" width="15.85546875" style="43" hidden="1"/>
    <col min="45" max="45" width="12.28515625" hidden="1"/>
    <col min="46" max="46" width="8.28515625" hidden="1"/>
    <col min="47" max="48" width="9.42578125" hidden="1"/>
    <col min="49" max="16383" width="11.42578125" hidden="1"/>
    <col min="16384" max="16384" width="1.28515625" hidden="1"/>
  </cols>
  <sheetData>
    <row r="1" spans="1:58" s="12" customFormat="1" ht="21" thickBot="1" x14ac:dyDescent="0.35">
      <c r="A1" s="259"/>
      <c r="B1" s="670" t="s">
        <v>410</v>
      </c>
      <c r="C1" s="670"/>
      <c r="D1" s="670"/>
      <c r="E1" s="670"/>
      <c r="F1" s="670"/>
      <c r="G1" s="670"/>
      <c r="H1" s="670"/>
      <c r="I1" s="670"/>
      <c r="J1" s="670"/>
      <c r="K1" s="670"/>
      <c r="L1" s="670"/>
      <c r="M1" s="670"/>
      <c r="N1" s="670"/>
      <c r="O1" s="670"/>
      <c r="Q1"/>
      <c r="S1" s="53"/>
      <c r="T1" s="53"/>
      <c r="U1" s="192"/>
      <c r="V1" s="53"/>
      <c r="W1" s="53"/>
      <c r="X1" s="53"/>
      <c r="Y1" s="53"/>
      <c r="Z1" s="53"/>
      <c r="AA1" s="53"/>
      <c r="AB1" s="53"/>
      <c r="AC1" s="53"/>
      <c r="AD1" s="53"/>
      <c r="AE1" s="53"/>
      <c r="AF1" s="53"/>
      <c r="AG1" s="53"/>
      <c r="AH1" s="53"/>
      <c r="AI1" s="53"/>
      <c r="AJ1" s="53"/>
      <c r="AK1" s="53"/>
      <c r="AL1" s="53"/>
      <c r="AM1" s="53"/>
      <c r="AN1" s="53"/>
      <c r="AO1" s="53"/>
      <c r="AP1" s="53"/>
      <c r="AQ1" s="53"/>
      <c r="AR1" s="53"/>
    </row>
    <row r="2" spans="1:58" s="16" customFormat="1" ht="19.149999999999999" customHeight="1" thickTop="1" thickBot="1" x14ac:dyDescent="0.3">
      <c r="A2" s="260"/>
      <c r="B2" s="637" t="s">
        <v>24</v>
      </c>
      <c r="C2" s="638"/>
      <c r="D2" s="659"/>
      <c r="E2" s="659"/>
      <c r="F2" s="659"/>
      <c r="G2" s="659"/>
      <c r="H2" s="659"/>
      <c r="I2" s="659"/>
      <c r="J2" s="675" t="s">
        <v>27</v>
      </c>
      <c r="K2" s="675"/>
      <c r="L2" s="675"/>
      <c r="M2" s="628"/>
      <c r="N2" s="628"/>
      <c r="O2" s="629"/>
      <c r="R2" s="587"/>
      <c r="S2" s="52"/>
      <c r="T2" s="52"/>
      <c r="U2" s="100"/>
      <c r="V2" s="98"/>
      <c r="W2" s="98"/>
      <c r="X2" s="98"/>
      <c r="Y2" s="98"/>
      <c r="Z2" s="98"/>
      <c r="AA2" s="98"/>
      <c r="AB2" s="98"/>
      <c r="AC2" s="98"/>
      <c r="AD2" s="98"/>
      <c r="AE2" s="98"/>
      <c r="AF2" s="98"/>
      <c r="AG2" s="98"/>
      <c r="AH2" s="98"/>
      <c r="AI2" s="98"/>
      <c r="AJ2" s="98"/>
      <c r="AK2" s="99"/>
      <c r="AL2" s="98"/>
      <c r="AM2" s="98"/>
      <c r="AN2" s="98"/>
      <c r="AO2" s="98"/>
      <c r="AP2" s="98"/>
      <c r="AQ2" s="97"/>
      <c r="AR2" s="56"/>
    </row>
    <row r="3" spans="1:58" s="16" customFormat="1" ht="19.149999999999999" customHeight="1" thickTop="1" thickBot="1" x14ac:dyDescent="0.3">
      <c r="A3" s="260"/>
      <c r="B3" s="657" t="s">
        <v>0</v>
      </c>
      <c r="C3" s="658"/>
      <c r="D3" s="632"/>
      <c r="E3" s="632"/>
      <c r="F3" s="632"/>
      <c r="G3" s="632"/>
      <c r="H3" s="632"/>
      <c r="I3" s="632"/>
      <c r="J3" s="635" t="s">
        <v>380</v>
      </c>
      <c r="K3" s="635"/>
      <c r="L3" s="635"/>
      <c r="M3" s="630"/>
      <c r="N3" s="630"/>
      <c r="O3" s="631"/>
      <c r="R3" s="587"/>
      <c r="S3" s="52"/>
      <c r="T3" s="52"/>
      <c r="U3" s="193"/>
      <c r="V3" s="98"/>
      <c r="W3" s="98"/>
      <c r="X3" s="98"/>
      <c r="Y3" s="98"/>
      <c r="Z3" s="98"/>
      <c r="AA3" s="98"/>
      <c r="AB3" s="98"/>
      <c r="AC3" s="98"/>
      <c r="AD3" s="98"/>
      <c r="AE3" s="98"/>
      <c r="AF3" s="98"/>
      <c r="AG3" s="98"/>
      <c r="AH3" s="98"/>
      <c r="AI3" s="98"/>
      <c r="AJ3" s="98"/>
      <c r="AK3" s="99"/>
      <c r="AL3" s="98"/>
      <c r="AM3" s="98"/>
      <c r="AN3" s="98"/>
      <c r="AO3" s="98"/>
      <c r="AP3" s="98"/>
      <c r="AQ3" s="97"/>
      <c r="AR3" s="57"/>
    </row>
    <row r="4" spans="1:58" s="16" customFormat="1" ht="19.149999999999999" customHeight="1" thickTop="1" thickBot="1" x14ac:dyDescent="0.3">
      <c r="A4" s="260"/>
      <c r="B4" s="657" t="s">
        <v>81</v>
      </c>
      <c r="C4" s="658"/>
      <c r="D4" s="632"/>
      <c r="E4" s="632"/>
      <c r="F4" s="632"/>
      <c r="G4" s="632"/>
      <c r="H4" s="632"/>
      <c r="I4" s="632"/>
      <c r="J4" s="635" t="s">
        <v>378</v>
      </c>
      <c r="K4" s="635"/>
      <c r="L4" s="635"/>
      <c r="M4" s="667"/>
      <c r="N4" s="667"/>
      <c r="O4" s="668"/>
      <c r="R4" s="587"/>
      <c r="S4" s="52"/>
      <c r="T4" s="52"/>
      <c r="U4" s="193"/>
      <c r="V4" s="98"/>
      <c r="W4" s="98"/>
      <c r="X4" s="98"/>
      <c r="Y4" s="98"/>
      <c r="Z4" s="98"/>
      <c r="AA4" s="98"/>
      <c r="AB4" s="98"/>
      <c r="AC4" s="98"/>
      <c r="AD4" s="98"/>
      <c r="AE4" s="98"/>
      <c r="AF4" s="98"/>
      <c r="AG4" s="98"/>
      <c r="AH4" s="98"/>
      <c r="AI4" s="98"/>
      <c r="AJ4" s="98"/>
      <c r="AK4" s="99"/>
      <c r="AL4" s="98"/>
      <c r="AM4" s="98"/>
      <c r="AN4" s="98"/>
      <c r="AO4" s="98"/>
      <c r="AP4" s="98"/>
      <c r="AQ4" s="97"/>
      <c r="AR4" s="57"/>
    </row>
    <row r="5" spans="1:58" s="16" customFormat="1" ht="19.149999999999999" customHeight="1" thickTop="1" thickBot="1" x14ac:dyDescent="0.3">
      <c r="A5" s="260"/>
      <c r="B5" s="657" t="s">
        <v>379</v>
      </c>
      <c r="C5" s="658"/>
      <c r="D5" s="669"/>
      <c r="E5" s="669"/>
      <c r="F5" s="669"/>
      <c r="G5" s="305" t="s">
        <v>538</v>
      </c>
      <c r="H5" s="293"/>
      <c r="I5" s="293"/>
      <c r="J5" s="635" t="s">
        <v>356</v>
      </c>
      <c r="K5" s="635"/>
      <c r="L5" s="635"/>
      <c r="M5" s="306" t="s">
        <v>413</v>
      </c>
      <c r="O5" s="294"/>
      <c r="R5" s="587"/>
      <c r="S5" s="52"/>
      <c r="T5" s="52"/>
      <c r="U5" s="100"/>
      <c r="V5" s="98"/>
      <c r="W5" s="98"/>
      <c r="X5" s="98"/>
      <c r="Y5" s="98"/>
      <c r="Z5" s="98"/>
      <c r="AA5" s="98"/>
      <c r="AB5" s="98"/>
      <c r="AC5" s="98"/>
      <c r="AD5" s="98"/>
      <c r="AE5" s="98"/>
      <c r="AF5" s="98"/>
      <c r="AG5" s="98"/>
      <c r="AH5" s="98"/>
      <c r="AI5" s="98"/>
      <c r="AJ5" s="98"/>
      <c r="AK5" s="99"/>
      <c r="AL5" s="98"/>
      <c r="AM5" s="98"/>
      <c r="AN5" s="98"/>
      <c r="AO5" s="98"/>
      <c r="AP5" s="98"/>
      <c r="AQ5" s="97"/>
      <c r="AR5" s="57"/>
    </row>
    <row r="6" spans="1:58" s="16" customFormat="1" ht="12.75" customHeight="1" thickTop="1" thickBot="1" x14ac:dyDescent="0.3">
      <c r="A6" s="260"/>
      <c r="M6" s="432" t="s">
        <v>414</v>
      </c>
      <c r="O6" s="96"/>
      <c r="R6" s="587"/>
      <c r="S6" s="52"/>
      <c r="T6" s="52"/>
      <c r="U6" s="54"/>
      <c r="V6" s="54"/>
      <c r="W6" s="54"/>
      <c r="X6" s="54"/>
      <c r="Y6" s="54"/>
      <c r="Z6" s="54"/>
      <c r="AA6" s="54"/>
      <c r="AB6" s="54"/>
      <c r="AC6" s="54"/>
      <c r="AD6" s="54"/>
      <c r="AE6" s="54"/>
      <c r="AF6" s="54"/>
      <c r="AG6" s="54"/>
      <c r="AH6" s="54"/>
      <c r="AI6" s="54"/>
      <c r="AJ6" s="54"/>
      <c r="AK6" s="54"/>
      <c r="AL6" s="54"/>
      <c r="AM6" s="54"/>
      <c r="AN6" s="54"/>
      <c r="AO6" s="54"/>
      <c r="AP6" s="54"/>
      <c r="AQ6" s="54"/>
      <c r="AR6" s="54"/>
    </row>
    <row r="7" spans="1:58" s="12" customFormat="1" ht="21.75" customHeight="1" thickTop="1" thickBot="1" x14ac:dyDescent="0.35">
      <c r="A7" s="259"/>
      <c r="B7" s="671" t="s">
        <v>537</v>
      </c>
      <c r="C7" s="671"/>
      <c r="D7" s="671"/>
      <c r="E7" s="671"/>
      <c r="F7" s="671"/>
      <c r="G7" s="671"/>
      <c r="H7" s="671"/>
      <c r="I7" s="671"/>
      <c r="J7" s="671"/>
      <c r="K7" s="671"/>
      <c r="L7" s="671"/>
      <c r="M7" s="671"/>
      <c r="N7" s="671"/>
      <c r="O7" s="671"/>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U7" s="16"/>
      <c r="AV7" s="16"/>
      <c r="AW7" s="16"/>
      <c r="AX7" s="16"/>
      <c r="AY7" s="16"/>
      <c r="AZ7" s="16"/>
      <c r="BA7" s="16"/>
      <c r="BB7" s="16"/>
      <c r="BC7" s="16"/>
      <c r="BD7" s="16"/>
      <c r="BE7" s="16"/>
      <c r="BF7" s="16"/>
    </row>
    <row r="8" spans="1:58" s="16" customFormat="1" ht="19.149999999999999" customHeight="1" thickTop="1" x14ac:dyDescent="0.25">
      <c r="A8" s="408"/>
      <c r="B8" s="665" t="s">
        <v>415</v>
      </c>
      <c r="C8" s="666"/>
      <c r="D8" s="676" t="s">
        <v>316</v>
      </c>
      <c r="E8" s="665"/>
      <c r="F8" s="665"/>
      <c r="G8" s="666"/>
      <c r="H8" s="676" t="s">
        <v>315</v>
      </c>
      <c r="I8" s="665"/>
      <c r="J8" s="634"/>
      <c r="K8" s="633" t="s">
        <v>91</v>
      </c>
      <c r="L8" s="634"/>
      <c r="M8" s="633" t="s">
        <v>92</v>
      </c>
      <c r="N8" s="634"/>
      <c r="O8" s="375"/>
      <c r="S8" s="54"/>
      <c r="T8" s="54"/>
      <c r="U8" s="54"/>
      <c r="V8" s="54"/>
      <c r="W8" s="54"/>
      <c r="X8" s="54"/>
      <c r="Y8" s="54"/>
      <c r="Z8" s="54"/>
      <c r="AA8" s="54"/>
      <c r="AB8" s="54"/>
      <c r="AC8" s="54"/>
      <c r="AD8" s="54"/>
      <c r="AE8" s="54"/>
      <c r="AF8" s="54"/>
      <c r="AG8" s="54"/>
      <c r="AH8" s="54"/>
      <c r="AI8" s="54"/>
      <c r="AJ8" s="54"/>
      <c r="AK8" s="54"/>
      <c r="AL8" s="54"/>
      <c r="AM8" s="54"/>
      <c r="AN8" s="54"/>
      <c r="AO8" s="54"/>
      <c r="AP8" s="54"/>
      <c r="AQ8" s="54"/>
      <c r="AR8" s="54"/>
    </row>
    <row r="9" spans="1:58" s="21" customFormat="1" ht="28.5" hidden="1" customHeight="1" thickBot="1" x14ac:dyDescent="0.3">
      <c r="B9" s="376"/>
      <c r="C9" s="202"/>
      <c r="D9" s="203"/>
      <c r="E9" s="377"/>
      <c r="F9" s="377"/>
      <c r="G9" s="204"/>
      <c r="H9" s="377"/>
      <c r="I9" s="377"/>
      <c r="J9" s="205"/>
      <c r="K9" s="206"/>
      <c r="L9" s="205"/>
      <c r="M9" s="206"/>
      <c r="N9" s="377"/>
      <c r="O9" s="377"/>
      <c r="R9" s="16"/>
      <c r="T9" s="370"/>
      <c r="U9" s="626" t="s">
        <v>316</v>
      </c>
      <c r="V9" s="626"/>
      <c r="W9" s="626"/>
      <c r="X9" s="626"/>
      <c r="Y9" s="626"/>
      <c r="Z9" s="626"/>
      <c r="AA9" s="626"/>
      <c r="AB9" s="626"/>
      <c r="AC9" s="626"/>
      <c r="AD9" s="626"/>
      <c r="AE9" s="626"/>
      <c r="AF9" s="626"/>
      <c r="AG9" s="626"/>
      <c r="AH9" s="627"/>
      <c r="AI9" s="625" t="s">
        <v>333</v>
      </c>
      <c r="AJ9" s="626"/>
      <c r="AK9" s="626"/>
      <c r="AL9" s="626"/>
      <c r="AM9" s="626"/>
      <c r="AN9" s="626"/>
      <c r="AO9" s="627"/>
      <c r="AP9" s="625" t="s">
        <v>334</v>
      </c>
      <c r="AQ9" s="626"/>
      <c r="AR9" s="626"/>
      <c r="AS9" s="626"/>
      <c r="AT9" s="626"/>
      <c r="AU9" s="626"/>
      <c r="AV9" s="627"/>
      <c r="AW9" s="625" t="s">
        <v>340</v>
      </c>
      <c r="AX9" s="626"/>
      <c r="AY9" s="626"/>
      <c r="AZ9" s="626"/>
      <c r="BA9" s="626"/>
      <c r="BB9" s="626"/>
      <c r="BC9" s="627"/>
    </row>
    <row r="10" spans="1:58" s="207" customFormat="1" ht="36" hidden="1" customHeight="1" x14ac:dyDescent="0.2">
      <c r="B10" s="378"/>
      <c r="C10" s="208"/>
      <c r="D10" s="209"/>
      <c r="E10" s="379"/>
      <c r="F10" s="379"/>
      <c r="G10" s="210"/>
      <c r="H10" s="379"/>
      <c r="I10" s="379"/>
      <c r="J10" s="211"/>
      <c r="K10" s="212"/>
      <c r="L10" s="211"/>
      <c r="M10" s="212"/>
      <c r="N10" s="379"/>
      <c r="O10" s="379"/>
      <c r="R10" s="588"/>
      <c r="T10" s="307"/>
      <c r="U10" s="308"/>
      <c r="V10" s="650" t="s">
        <v>335</v>
      </c>
      <c r="W10" s="649"/>
      <c r="X10" s="650" t="s">
        <v>41</v>
      </c>
      <c r="Y10" s="649"/>
      <c r="Z10" s="650" t="s">
        <v>327</v>
      </c>
      <c r="AA10" s="649"/>
      <c r="AB10" s="650" t="s">
        <v>327</v>
      </c>
      <c r="AC10" s="649"/>
      <c r="AD10" s="309" t="s">
        <v>328</v>
      </c>
      <c r="AE10" s="310" t="s">
        <v>252</v>
      </c>
      <c r="AF10" s="311" t="s">
        <v>326</v>
      </c>
      <c r="AG10" s="311"/>
      <c r="AH10" s="311"/>
      <c r="AI10" s="648" t="s">
        <v>324</v>
      </c>
      <c r="AJ10" s="649"/>
      <c r="AK10" s="312" t="s">
        <v>325</v>
      </c>
      <c r="AL10" s="309" t="s">
        <v>330</v>
      </c>
      <c r="AM10" s="309" t="s">
        <v>331</v>
      </c>
      <c r="AN10" s="650" t="s">
        <v>329</v>
      </c>
      <c r="AO10" s="651"/>
      <c r="AP10" s="648" t="s">
        <v>324</v>
      </c>
      <c r="AQ10" s="649"/>
      <c r="AR10" s="312" t="s">
        <v>325</v>
      </c>
      <c r="AS10" s="309" t="s">
        <v>330</v>
      </c>
      <c r="AT10" s="309" t="s">
        <v>331</v>
      </c>
      <c r="AU10" s="650" t="s">
        <v>329</v>
      </c>
      <c r="AV10" s="651"/>
      <c r="AW10" s="313" t="s">
        <v>341</v>
      </c>
      <c r="AX10" s="314" t="s">
        <v>342</v>
      </c>
      <c r="AY10" s="310" t="s">
        <v>343</v>
      </c>
      <c r="AZ10" s="314" t="s">
        <v>353</v>
      </c>
      <c r="BA10" s="315" t="s">
        <v>271</v>
      </c>
      <c r="BB10" s="315" t="s">
        <v>352</v>
      </c>
      <c r="BC10" s="316" t="s">
        <v>219</v>
      </c>
    </row>
    <row r="11" spans="1:58" s="158" customFormat="1" ht="15" hidden="1" customHeight="1" x14ac:dyDescent="0.2">
      <c r="B11" s="380"/>
      <c r="C11" s="161" t="s">
        <v>113</v>
      </c>
      <c r="D11" s="166" t="e">
        <f>#REF!</f>
        <v>#REF!</v>
      </c>
      <c r="E11" s="159" t="s">
        <v>270</v>
      </c>
      <c r="F11" s="159" t="s">
        <v>34</v>
      </c>
      <c r="G11" s="167" t="s">
        <v>35</v>
      </c>
      <c r="H11" s="163" t="e">
        <f>#REF!</f>
        <v>#REF!</v>
      </c>
      <c r="I11" s="159"/>
      <c r="J11" s="159"/>
      <c r="K11" s="160"/>
      <c r="L11" s="160"/>
      <c r="M11" s="160"/>
      <c r="N11" s="159"/>
      <c r="O11" s="216"/>
      <c r="R11" s="18"/>
      <c r="T11" s="317"/>
      <c r="U11" s="318" t="s">
        <v>270</v>
      </c>
      <c r="V11" s="319" t="s">
        <v>34</v>
      </c>
      <c r="W11" s="319"/>
      <c r="X11" s="319" t="s">
        <v>317</v>
      </c>
      <c r="Y11" s="319" t="s">
        <v>318</v>
      </c>
      <c r="Z11" s="319" t="s">
        <v>305</v>
      </c>
      <c r="AA11" s="319" t="s">
        <v>306</v>
      </c>
      <c r="AB11" s="319"/>
      <c r="AC11" s="319"/>
      <c r="AD11" s="319" t="s">
        <v>35</v>
      </c>
      <c r="AE11" s="319" t="s">
        <v>270</v>
      </c>
      <c r="AF11" s="320" t="s">
        <v>270</v>
      </c>
      <c r="AG11" s="320" t="s">
        <v>349</v>
      </c>
      <c r="AH11" s="320"/>
      <c r="AI11" s="321" t="s">
        <v>319</v>
      </c>
      <c r="AJ11" s="319" t="s">
        <v>320</v>
      </c>
      <c r="AK11" s="319"/>
      <c r="AL11" s="319" t="s">
        <v>284</v>
      </c>
      <c r="AM11" s="319"/>
      <c r="AN11" s="319"/>
      <c r="AO11" s="322"/>
      <c r="AP11" s="321" t="s">
        <v>321</v>
      </c>
      <c r="AQ11" s="319" t="s">
        <v>322</v>
      </c>
      <c r="AR11" s="319"/>
      <c r="AS11" s="319" t="s">
        <v>285</v>
      </c>
      <c r="AT11" s="319"/>
      <c r="AU11" s="319"/>
      <c r="AV11" s="322"/>
      <c r="AW11" s="323"/>
      <c r="AX11" s="324"/>
      <c r="AY11" s="324" t="s">
        <v>332</v>
      </c>
      <c r="AZ11" s="324"/>
      <c r="BA11" s="325"/>
      <c r="BB11" s="325"/>
      <c r="BC11" s="326"/>
    </row>
    <row r="12" spans="1:58" s="18" customFormat="1" ht="15" customHeight="1" x14ac:dyDescent="0.2">
      <c r="A12" s="426"/>
      <c r="B12" s="381"/>
      <c r="C12" s="222"/>
      <c r="D12" s="168" t="e">
        <f>D11</f>
        <v>#REF!</v>
      </c>
      <c r="E12" s="34" t="str">
        <f>E11</f>
        <v>Typ</v>
      </c>
      <c r="F12" s="221" t="s">
        <v>34</v>
      </c>
      <c r="G12" s="169" t="str">
        <f t="shared" ref="G12" si="0">G11</f>
        <v>Neig.</v>
      </c>
      <c r="H12" s="164" t="s">
        <v>271</v>
      </c>
      <c r="I12" s="34" t="s">
        <v>287</v>
      </c>
      <c r="J12" s="34" t="s">
        <v>286</v>
      </c>
      <c r="K12" s="34" t="s">
        <v>287</v>
      </c>
      <c r="L12" s="34" t="s">
        <v>286</v>
      </c>
      <c r="M12" s="34" t="s">
        <v>287</v>
      </c>
      <c r="N12" s="34" t="s">
        <v>286</v>
      </c>
      <c r="O12" s="382" t="s">
        <v>257</v>
      </c>
      <c r="S12" s="201"/>
      <c r="T12" s="327"/>
      <c r="U12" s="328"/>
      <c r="V12" s="329" t="s">
        <v>406</v>
      </c>
      <c r="W12" s="329" t="s">
        <v>407</v>
      </c>
      <c r="X12" s="329"/>
      <c r="Y12" s="329"/>
      <c r="Z12" s="329"/>
      <c r="AA12" s="329"/>
      <c r="AB12" s="329"/>
      <c r="AC12" s="329"/>
      <c r="AD12" s="329"/>
      <c r="AE12" s="329"/>
      <c r="AF12" s="330"/>
      <c r="AG12" s="330"/>
      <c r="AH12" s="330"/>
      <c r="AI12" s="331"/>
      <c r="AJ12" s="329"/>
      <c r="AK12" s="332"/>
      <c r="AL12" s="329"/>
      <c r="AM12" s="329"/>
      <c r="AN12" s="329"/>
      <c r="AO12" s="333"/>
      <c r="AP12" s="331"/>
      <c r="AQ12" s="329"/>
      <c r="AR12" s="332"/>
      <c r="AS12" s="329"/>
      <c r="AT12" s="329"/>
      <c r="AU12" s="329"/>
      <c r="AV12" s="333"/>
      <c r="AW12" s="334"/>
      <c r="AX12" s="335"/>
      <c r="AY12" s="335"/>
      <c r="AZ12" s="335"/>
      <c r="BA12" s="336"/>
      <c r="BB12" s="336"/>
      <c r="BC12" s="337"/>
    </row>
    <row r="13" spans="1:58" s="18" customFormat="1" ht="15" customHeight="1" x14ac:dyDescent="0.2">
      <c r="A13" s="266"/>
      <c r="B13" s="383"/>
      <c r="C13" s="162"/>
      <c r="D13" s="170" t="s">
        <v>101</v>
      </c>
      <c r="E13" s="35"/>
      <c r="F13" s="35"/>
      <c r="G13" s="171"/>
      <c r="H13" s="165"/>
      <c r="I13" s="35" t="s">
        <v>36</v>
      </c>
      <c r="J13" s="35" t="s">
        <v>36</v>
      </c>
      <c r="K13" s="35" t="s">
        <v>23</v>
      </c>
      <c r="L13" s="35" t="s">
        <v>23</v>
      </c>
      <c r="M13" s="35" t="s">
        <v>2</v>
      </c>
      <c r="N13" s="35" t="s">
        <v>2</v>
      </c>
      <c r="O13" s="384"/>
      <c r="S13" s="201"/>
      <c r="T13" s="338"/>
      <c r="U13" s="339"/>
      <c r="V13" s="340" t="s">
        <v>37</v>
      </c>
      <c r="W13" s="340" t="s">
        <v>37</v>
      </c>
      <c r="X13" s="340" t="s">
        <v>37</v>
      </c>
      <c r="Y13" s="340" t="s">
        <v>37</v>
      </c>
      <c r="Z13" s="340"/>
      <c r="AA13" s="340"/>
      <c r="AB13" s="340"/>
      <c r="AC13" s="340"/>
      <c r="AD13" s="340"/>
      <c r="AE13" s="340"/>
      <c r="AF13" s="341"/>
      <c r="AG13" s="341"/>
      <c r="AH13" s="341"/>
      <c r="AI13" s="342" t="s">
        <v>36</v>
      </c>
      <c r="AJ13" s="340" t="s">
        <v>36</v>
      </c>
      <c r="AK13" s="340" t="s">
        <v>23</v>
      </c>
      <c r="AL13" s="340"/>
      <c r="AM13" s="340"/>
      <c r="AN13" s="340" t="s">
        <v>540</v>
      </c>
      <c r="AO13" s="343" t="s">
        <v>540</v>
      </c>
      <c r="AP13" s="342" t="s">
        <v>36</v>
      </c>
      <c r="AQ13" s="340" t="s">
        <v>36</v>
      </c>
      <c r="AR13" s="340" t="s">
        <v>23</v>
      </c>
      <c r="AS13" s="340"/>
      <c r="AT13" s="340"/>
      <c r="AU13" s="340" t="s">
        <v>540</v>
      </c>
      <c r="AV13" s="343" t="s">
        <v>540</v>
      </c>
      <c r="AW13" s="344"/>
      <c r="AX13" s="345"/>
      <c r="AY13" s="345"/>
      <c r="AZ13" s="345"/>
      <c r="BA13" s="346"/>
      <c r="BB13" s="346"/>
      <c r="BC13" s="347"/>
    </row>
    <row r="14" spans="1:58" s="16" customFormat="1" ht="27.75" customHeight="1" x14ac:dyDescent="0.25">
      <c r="A14" s="260"/>
      <c r="B14" s="385">
        <v>1</v>
      </c>
      <c r="C14" s="177">
        <f t="shared" ref="C14:C19" ca="1" si="1">IFERROR(VLOOKUP(C$11,INDIRECT($T14),2,FALSE),"")</f>
        <v>0</v>
      </c>
      <c r="D14" s="178" t="str">
        <f t="shared" ref="D14:D19" ca="1" si="2">IF(ISNUMBER(VLOOKUP(D$11,INDIRECT($T14),2,FALSE)),VLOOKUP(D$11,INDIRECT($T14),2,FALSE),"")</f>
        <v/>
      </c>
      <c r="E14" s="199" t="str">
        <f t="shared" ref="E14:E19" ca="1" si="3">IF(ISTEXT(VLOOKUP(E$11,INDIRECT($T14),2,FALSE)),VLOOKUP(E$11,INDIRECT($T14),2,FALSE),"")</f>
        <v/>
      </c>
      <c r="F14" s="173" t="str">
        <f t="shared" ref="F14:F19" ca="1" si="4">CONCATENATE(IF(ISNUMBER(V14),CONCATENATE(V14,"°"),""),IF(ISNUMBER(W14),CONCATENATE(CHAR(10),W14,"°"),""))</f>
        <v/>
      </c>
      <c r="G14" s="175" t="str">
        <f t="shared" ref="G14:G19" ca="1" si="5">CONCATENATE(IF(ISNUMBER(VLOOKUP(G$11,INDIRECT($T14),2,FALSE)),CONCATENATE(VLOOKUP(G$11,INDIRECT($T14),2,FALSE),"°"),""),IF(OR(E14="Fd",E14="Fdg"),CONCATENATE(CHAR(10),VLOOKUP(G$11,INDIRECT($T14),2,FALSE),"°"),""))</f>
        <v/>
      </c>
      <c r="H14" s="172" t="str">
        <f t="shared" ref="H14:H19" ca="1" si="6">CONCATENATE(Z14,IF(OR(E14="Fd",E14="Fdg"),CONCATENATE(CHAR(10),AA14),""))</f>
        <v/>
      </c>
      <c r="I14" s="186" t="str">
        <f t="shared" ref="I14:I19" ca="1" si="7">CONCATENATE(AI14,IF(OR(E14="Fd",E14="Fdg"),CONCATENATE(CHAR(10),AJ14),""))</f>
        <v/>
      </c>
      <c r="J14" s="186" t="str">
        <f t="shared" ref="J14:J19" ca="1" si="8">CONCATENATE(AP14,IF(OR(E14="Fd",E14="Fdg"),CONCATENATE(CHAR(10),AQ14),""))</f>
        <v/>
      </c>
      <c r="K14" s="188" t="str">
        <f t="shared" ref="K14:K19" ca="1" si="9">AK14</f>
        <v/>
      </c>
      <c r="L14" s="188" t="str">
        <f t="shared" ref="L14:L19" ca="1" si="10">AR14</f>
        <v/>
      </c>
      <c r="M14" s="179" t="str">
        <f t="shared" ref="M14:M19" ca="1" si="11">AM14</f>
        <v/>
      </c>
      <c r="N14" s="180" t="str">
        <f t="shared" ref="N14:N19" ca="1" si="12">AT14</f>
        <v/>
      </c>
      <c r="O14" s="386" t="str" cm="1">
        <f t="array" aca="1" ref="O14" ca="1">IF(AG14=0,"",
  MATCH(
    AG14,
    _xlfn._xlws.SORT(_xlfn._xlws.FILTER($AG$14:$AG$19,$AG$14:$AG$19&lt;&gt;0)),
    1
  )
)</f>
        <v/>
      </c>
      <c r="S14" s="54"/>
      <c r="T14" s="348" t="str">
        <f t="shared" ref="T14:T19" si="13">"'Dachfläche ("&amp;B14&amp;")'!D:H"</f>
        <v>'Dachfläche (1)'!D:H</v>
      </c>
      <c r="U14" s="349" t="str">
        <f t="shared" ref="U14:U19" ca="1" si="14">IF(ISTEXT(VLOOKUP(U$11,INDIRECT($T14),2,FALSE)),VLOOKUP(U$11,INDIRECT($T14),2,FALSE),"")</f>
        <v/>
      </c>
      <c r="V14" s="350" t="str">
        <f ca="1">IF(ISNUMBER(VLOOKUP(V$11,INDIRECT($T14),2,FALSE)),(VLOOKUP(V$11,INDIRECT($T14),2,FALSE)),"")</f>
        <v/>
      </c>
      <c r="W14" s="350" t="str">
        <f t="shared" ref="W14:W19" ca="1" si="15">IF(AND(OR(E14="Fd",E14="Fdg"),ISNUMBER(V14)),V14-180*SIGN(V14),"")</f>
        <v/>
      </c>
      <c r="X14" s="350">
        <f t="shared" ref="X14:Y19" ca="1" si="16">IF(ISNUMBER(VLOOKUP(X$11,INDIRECT($T14),3,FALSE)),VLOOKUP(X$11,INDIRECT($T14),3,FALSE),"")</f>
        <v>475</v>
      </c>
      <c r="Y14" s="350">
        <f t="shared" ca="1" si="16"/>
        <v>475</v>
      </c>
      <c r="Z14" s="350" t="str">
        <f t="shared" ref="Z14:Z19" ca="1" si="17">IF(AND(ISTEXT(VLOOKUP(Z$11,INDIRECT($T14),2,FALSE)),ISNUMBER(AI14)),(VLOOKUP(Z$11,INDIRECT($T14),2,FALSE)),"")</f>
        <v/>
      </c>
      <c r="AA14" s="350" t="str">
        <f t="shared" ref="AA14:AA19" ca="1" si="18">IF(AND(ISTEXT(VLOOKUP(AA$11,INDIRECT($T14),2,FALSE)),AJ14&gt;0),(VLOOKUP(AA$11,INDIRECT($T14),2,FALSE)),"")</f>
        <v/>
      </c>
      <c r="AB14" s="350" t="str" cm="1">
        <f t="array" aca="1" ref="AB14" ca="1">_xlfn.IFS(Z14="krit",1,Z14="unk",0,TRUE,"")</f>
        <v/>
      </c>
      <c r="AC14" s="350" t="str" cm="1">
        <f t="array" aca="1" ref="AC14" ca="1">_xlfn.IFS(AA14="krit",1,AA14="unk",0,TRUE,"")</f>
        <v/>
      </c>
      <c r="AD14" s="350">
        <f t="shared" ref="AD14:AD19" ca="1" si="19">IF(AF14,0,(VLOOKUP(AD$11,INDIRECT($T14),2,FALSE)&gt;_Neigungswinkel_für_NB_Bund)*1)</f>
        <v>0</v>
      </c>
      <c r="AE14" s="350">
        <f t="shared" ref="AE14:AE19" ca="1" si="20">(VLOOKUP(AE$11,INDIRECT($T14),2,FALSE)="Pp")*1</f>
        <v>0</v>
      </c>
      <c r="AF14" s="351">
        <f t="shared" ref="AF14:AF19" ca="1" si="21">(VLOOKUP(AF$11,INDIRECT($T14),2,FALSE)="Fdg")*1</f>
        <v>0</v>
      </c>
      <c r="AG14" s="351">
        <f t="shared" ref="AG14:AG19" ca="1" si="22">IFERROR(VLOOKUP(AG$11,INDIRECT($T14),2,FALSE),"")</f>
        <v>0</v>
      </c>
      <c r="AH14" s="351" t="str" cm="1">
        <f t="array" aca="1" ref="AH14" ca="1">IF(AG14=0,"",
  MATCH(
    AG14,
    _xlfn._xlws.SORT(_xlfn._xlws.FILTER($AG$14:$AG$19,$AG$14:$AG$19&lt;&gt;0)),
    1
  )
)</f>
        <v/>
      </c>
      <c r="AI14" s="352" t="str">
        <f t="shared" ref="AI14:AI19" ca="1" si="23">IF(VLOOKUP(AI$11,INDIRECT($T14),2,FALSE)&gt;0,VLOOKUP(AI$11,INDIRECT($T14),2,FALSE),"")</f>
        <v/>
      </c>
      <c r="AJ14" s="350">
        <f t="shared" ref="AJ14:AJ19" ca="1" si="24">IFERROR(VLOOKUP(AJ$11,INDIRECT($T14),2,FALSE),"")</f>
        <v>0</v>
      </c>
      <c r="AK14" s="350" t="str">
        <f t="shared" ref="AK14:AK19" ca="1" si="25">IFERROR(IF(OR(U14="Fdg",U14="Fd"),(AI14*X14+AJ14*Y14)/1000,X14*AI14/1000),"")</f>
        <v/>
      </c>
      <c r="AL14" s="350" t="str">
        <f t="shared" ref="AL14:AL19" ca="1" si="26">IFERROR(VLOOKUP(AL$11,INDIRECT($T14),2,FALSE),"")</f>
        <v/>
      </c>
      <c r="AM14" s="350" t="str">
        <f t="shared" ref="AM14:AM19" ca="1" si="27">IFERROR(AK14*AL14,"")</f>
        <v/>
      </c>
      <c r="AN14" s="350">
        <f t="shared" ref="AN14:AN19" ca="1" si="28">IFERROR(AI14*$AB14*_Modullänge_Blendarm*_Modulbreite_Blendarm
+AI14*NOT($AB14)*_Modullänge_Standard*_Modulbreite_Standard,0)</f>
        <v>0</v>
      </c>
      <c r="AO14" s="353">
        <f t="shared" ref="AO14:AO19" ca="1" si="29">IFERROR(AJ14*$AC14*_Modullänge_Blendarm*_Modulbreite_Blendarm
+AJ14*NOT($AC14)*_Modullänge_Standard*_Modulbreite_Standard,0)</f>
        <v>0</v>
      </c>
      <c r="AP14" s="352" t="str">
        <f t="shared" ref="AP14:AP19" ca="1" si="30">IF(VLOOKUP(AP$11,INDIRECT($T14),2,FALSE)&gt;0,VLOOKUP(AP$11,INDIRECT($T14),2,FALSE),"")</f>
        <v/>
      </c>
      <c r="AQ14" s="350">
        <f t="shared" ref="AQ14:AQ19" ca="1" si="31">IFERROR(VLOOKUP(AQ$11,INDIRECT($T14),2,FALSE),"")</f>
        <v>0</v>
      </c>
      <c r="AR14" s="350" t="str">
        <f t="shared" ref="AR14:AR19" ca="1" si="32">IFERROR(IF(OR(U14="Fdg",U14="Fd"),(AP14*X14+AQ14*Y14)/1000,X14*AP14/1000),"")</f>
        <v/>
      </c>
      <c r="AS14" s="350" t="str">
        <f t="shared" ref="AS14:AS19" ca="1" si="33">IFERROR(VLOOKUP(AS$11,INDIRECT($T14),2,FALSE),"")</f>
        <v/>
      </c>
      <c r="AT14" s="350" t="str">
        <f t="shared" ref="AT14:AT19" ca="1" si="34">IFERROR(AR14*AS14,"")</f>
        <v/>
      </c>
      <c r="AU14" s="350">
        <f t="shared" ref="AU14:AU19" ca="1" si="35">IFERROR(AP14*$AB14*_Modullänge_Blendarm*_Modulbreite_Blendarm
+AP14*NOT($AB14)*_Modullänge_Standard*_Modulbreite_Standard,0)</f>
        <v>0</v>
      </c>
      <c r="AV14" s="353">
        <f t="shared" ref="AV14:AV19" ca="1" si="36">IFERROR(AQ14*$AC14*_Modullänge_Blendarm*_Modulbreite_Blendarm
+AQ14*NOT($AC14)*_Modullänge_Standard*_Modulbreite_Standard,0)</f>
        <v>0</v>
      </c>
      <c r="AW14" s="354" t="str">
        <f t="shared" ref="AW14:AW19" ca="1" si="37">IF(AND(ISNUMBER(M14),M14&gt;0),1,"")</f>
        <v/>
      </c>
      <c r="AX14" s="351" t="str">
        <f t="shared" ref="AX14:AX19" ca="1" si="38">IF(AND(M14&lt;&gt;N14,N14&gt;0),1,"")</f>
        <v/>
      </c>
      <c r="AY14" s="351">
        <f t="shared" ref="AY14:AY19" ca="1" si="39">ISNUMBER(VLOOKUP(AY$11,INDIRECT($T14),2,FALSE))*((AI14&gt;0)+(AJ14&gt;0))</f>
        <v>0</v>
      </c>
      <c r="AZ14" s="351">
        <f t="shared" ref="AZ14:AZ19" ca="1" si="40">IF(AY14&gt;0,IF(ISTEXT(AZ13),AZ13&amp;", "&amp;B14," "&amp;B14),AZ13)</f>
        <v>0</v>
      </c>
      <c r="BA14" s="351">
        <f t="shared" ref="BA14:BA19" ca="1" si="41">(Z14="krit")*1+(AA14="krit")*1</f>
        <v>0</v>
      </c>
      <c r="BB14" s="351">
        <f t="shared" ref="BB14:BB19" ca="1" si="42">IF(BA14&gt;0,IF(ISTEXT(BB13),BB13&amp;", "&amp;B14," "&amp;B14),BB13)</f>
        <v>0</v>
      </c>
      <c r="BC14" s="353" t="str">
        <f t="shared" ref="BC14:BC19" ca="1" si="43">IF(AND(H14&gt;=_Neigungswinkel_für_NB_Bund,H14&lt;=90),1,"")</f>
        <v/>
      </c>
    </row>
    <row r="15" spans="1:58" s="16" customFormat="1" ht="27.75" customHeight="1" x14ac:dyDescent="0.25">
      <c r="A15" s="260"/>
      <c r="B15" s="387">
        <f>B14+1</f>
        <v>2</v>
      </c>
      <c r="C15" s="181">
        <f t="shared" ca="1" si="1"/>
        <v>0</v>
      </c>
      <c r="D15" s="182" t="str">
        <f t="shared" ca="1" si="2"/>
        <v/>
      </c>
      <c r="E15" s="200" t="str">
        <f t="shared" ca="1" si="3"/>
        <v/>
      </c>
      <c r="F15" s="174" t="str">
        <f t="shared" ca="1" si="4"/>
        <v/>
      </c>
      <c r="G15" s="176" t="str">
        <f t="shared" ca="1" si="5"/>
        <v/>
      </c>
      <c r="H15" s="185" t="str">
        <f t="shared" ca="1" si="6"/>
        <v/>
      </c>
      <c r="I15" s="187" t="str">
        <f t="shared" ca="1" si="7"/>
        <v/>
      </c>
      <c r="J15" s="187" t="str">
        <f t="shared" ca="1" si="8"/>
        <v/>
      </c>
      <c r="K15" s="189" t="str">
        <f t="shared" ca="1" si="9"/>
        <v/>
      </c>
      <c r="L15" s="190" t="str">
        <f t="shared" ca="1" si="10"/>
        <v/>
      </c>
      <c r="M15" s="183" t="str">
        <f t="shared" ca="1" si="11"/>
        <v/>
      </c>
      <c r="N15" s="184" t="str">
        <f t="shared" ca="1" si="12"/>
        <v/>
      </c>
      <c r="O15" s="388" t="str" cm="1">
        <f t="array" aca="1" ref="O15" ca="1">IF(AG15=0,"",
  MATCH(
    AG15,
    _xlfn._xlws.SORT(_xlfn._xlws.FILTER($AG$14:$AG$19,$AG$14:$AG$19&lt;&gt;0)),
    1
  )
)</f>
        <v/>
      </c>
      <c r="S15" s="54"/>
      <c r="T15" s="355" t="str">
        <f t="shared" si="13"/>
        <v>'Dachfläche (2)'!D:H</v>
      </c>
      <c r="U15" s="356" t="str">
        <f t="shared" ca="1" si="14"/>
        <v/>
      </c>
      <c r="V15" s="357" t="str">
        <f t="shared" ref="V15:V19" ca="1" si="44">IF(ISNUMBER(VLOOKUP(V$11,INDIRECT($T15),2,FALSE)),(VLOOKUP(V$11,INDIRECT($T15),2,FALSE)),"")</f>
        <v/>
      </c>
      <c r="W15" s="357" t="str">
        <f t="shared" ca="1" si="15"/>
        <v/>
      </c>
      <c r="X15" s="357">
        <f t="shared" ca="1" si="16"/>
        <v>475</v>
      </c>
      <c r="Y15" s="357">
        <f t="shared" ca="1" si="16"/>
        <v>475</v>
      </c>
      <c r="Z15" s="357" t="str">
        <f t="shared" ca="1" si="17"/>
        <v/>
      </c>
      <c r="AA15" s="357" t="str">
        <f t="shared" ca="1" si="18"/>
        <v/>
      </c>
      <c r="AB15" s="357" t="str" cm="1">
        <f t="array" aca="1" ref="AB15" ca="1">_xlfn.IFS(Z15="krit",1,Z15="unk",0,TRUE,"")</f>
        <v/>
      </c>
      <c r="AC15" s="357" t="str" cm="1">
        <f t="array" aca="1" ref="AC15" ca="1">_xlfn.IFS(AA15="krit",1,AA15="unk",0,TRUE,"")</f>
        <v/>
      </c>
      <c r="AD15" s="357">
        <f t="shared" ca="1" si="19"/>
        <v>0</v>
      </c>
      <c r="AE15" s="357">
        <f t="shared" ca="1" si="20"/>
        <v>0</v>
      </c>
      <c r="AF15" s="358">
        <f t="shared" ca="1" si="21"/>
        <v>0</v>
      </c>
      <c r="AG15" s="358">
        <f t="shared" ca="1" si="22"/>
        <v>0</v>
      </c>
      <c r="AH15" s="358" t="str" cm="1">
        <f t="array" aca="1" ref="AH15" ca="1">IF(AG15=0,"",
  MATCH(
    AG15,
    _xlfn._xlws.SORT(_xlfn._xlws.FILTER($AG$14:$AG$19,$AG$14:$AG$19&lt;&gt;0)),
    1
  )
)</f>
        <v/>
      </c>
      <c r="AI15" s="359" t="str">
        <f t="shared" ca="1" si="23"/>
        <v/>
      </c>
      <c r="AJ15" s="357">
        <f t="shared" ca="1" si="24"/>
        <v>0</v>
      </c>
      <c r="AK15" s="357" t="str">
        <f t="shared" ca="1" si="25"/>
        <v/>
      </c>
      <c r="AL15" s="357" t="str">
        <f t="shared" ca="1" si="26"/>
        <v/>
      </c>
      <c r="AM15" s="357" t="str">
        <f t="shared" ca="1" si="27"/>
        <v/>
      </c>
      <c r="AN15" s="357">
        <f t="shared" ca="1" si="28"/>
        <v>0</v>
      </c>
      <c r="AO15" s="360">
        <f t="shared" ca="1" si="29"/>
        <v>0</v>
      </c>
      <c r="AP15" s="359" t="str">
        <f t="shared" ca="1" si="30"/>
        <v/>
      </c>
      <c r="AQ15" s="357">
        <f t="shared" ca="1" si="31"/>
        <v>0</v>
      </c>
      <c r="AR15" s="357" t="str">
        <f t="shared" ca="1" si="32"/>
        <v/>
      </c>
      <c r="AS15" s="357" t="str">
        <f t="shared" ca="1" si="33"/>
        <v/>
      </c>
      <c r="AT15" s="357" t="str">
        <f t="shared" ca="1" si="34"/>
        <v/>
      </c>
      <c r="AU15" s="357">
        <f t="shared" ca="1" si="35"/>
        <v>0</v>
      </c>
      <c r="AV15" s="360">
        <f t="shared" ca="1" si="36"/>
        <v>0</v>
      </c>
      <c r="AW15" s="361" t="str">
        <f t="shared" ca="1" si="37"/>
        <v/>
      </c>
      <c r="AX15" s="358" t="str">
        <f t="shared" ca="1" si="38"/>
        <v/>
      </c>
      <c r="AY15" s="358">
        <f t="shared" ca="1" si="39"/>
        <v>0</v>
      </c>
      <c r="AZ15" s="358">
        <f t="shared" ca="1" si="40"/>
        <v>0</v>
      </c>
      <c r="BA15" s="358">
        <f t="shared" ca="1" si="41"/>
        <v>0</v>
      </c>
      <c r="BB15" s="358">
        <f t="shared" ca="1" si="42"/>
        <v>0</v>
      </c>
      <c r="BC15" s="360" t="str">
        <f t="shared" ca="1" si="43"/>
        <v/>
      </c>
    </row>
    <row r="16" spans="1:58" s="16" customFormat="1" ht="27.75" customHeight="1" x14ac:dyDescent="0.25">
      <c r="A16" s="260"/>
      <c r="B16" s="387">
        <f t="shared" ref="B16:B19" si="45">B15+1</f>
        <v>3</v>
      </c>
      <c r="C16" s="181">
        <f t="shared" ca="1" si="1"/>
        <v>0</v>
      </c>
      <c r="D16" s="182" t="str">
        <f t="shared" ca="1" si="2"/>
        <v/>
      </c>
      <c r="E16" s="200" t="str">
        <f t="shared" ca="1" si="3"/>
        <v/>
      </c>
      <c r="F16" s="174" t="str">
        <f t="shared" ca="1" si="4"/>
        <v/>
      </c>
      <c r="G16" s="176" t="str">
        <f t="shared" ca="1" si="5"/>
        <v/>
      </c>
      <c r="H16" s="185" t="str">
        <f t="shared" ca="1" si="6"/>
        <v/>
      </c>
      <c r="I16" s="187" t="str">
        <f t="shared" ca="1" si="7"/>
        <v/>
      </c>
      <c r="J16" s="187" t="str">
        <f t="shared" ca="1" si="8"/>
        <v/>
      </c>
      <c r="K16" s="189" t="str">
        <f t="shared" ca="1" si="9"/>
        <v/>
      </c>
      <c r="L16" s="190" t="str">
        <f t="shared" ca="1" si="10"/>
        <v/>
      </c>
      <c r="M16" s="183" t="str">
        <f t="shared" ca="1" si="11"/>
        <v/>
      </c>
      <c r="N16" s="184" t="str">
        <f t="shared" ca="1" si="12"/>
        <v/>
      </c>
      <c r="O16" s="388" t="str" cm="1">
        <f t="array" aca="1" ref="O16" ca="1">IF(AG16=0,"",
  MATCH(
    AG16,
    _xlfn._xlws.SORT(_xlfn._xlws.FILTER($AG$14:$AG$19,$AG$14:$AG$19&lt;&gt;0)),
    1
  )
)</f>
        <v/>
      </c>
      <c r="R16" s="218"/>
      <c r="S16" s="54"/>
      <c r="T16" s="355" t="str">
        <f t="shared" si="13"/>
        <v>'Dachfläche (3)'!D:H</v>
      </c>
      <c r="U16" s="356" t="str">
        <f t="shared" ca="1" si="14"/>
        <v/>
      </c>
      <c r="V16" s="357" t="str">
        <f t="shared" ca="1" si="44"/>
        <v/>
      </c>
      <c r="W16" s="357" t="str">
        <f t="shared" ca="1" si="15"/>
        <v/>
      </c>
      <c r="X16" s="357">
        <f t="shared" ca="1" si="16"/>
        <v>475</v>
      </c>
      <c r="Y16" s="357">
        <f t="shared" ca="1" si="16"/>
        <v>475</v>
      </c>
      <c r="Z16" s="357" t="str">
        <f t="shared" ca="1" si="17"/>
        <v/>
      </c>
      <c r="AA16" s="357" t="str">
        <f t="shared" ca="1" si="18"/>
        <v/>
      </c>
      <c r="AB16" s="357" t="str" cm="1">
        <f t="array" aca="1" ref="AB16" ca="1">_xlfn.IFS(Z16="krit",1,Z16="unk",0,TRUE,"")</f>
        <v/>
      </c>
      <c r="AC16" s="357" t="str" cm="1">
        <f t="array" aca="1" ref="AC16" ca="1">_xlfn.IFS(AA16="krit",1,AA16="unk",0,TRUE,"")</f>
        <v/>
      </c>
      <c r="AD16" s="357">
        <f t="shared" ca="1" si="19"/>
        <v>0</v>
      </c>
      <c r="AE16" s="357">
        <f t="shared" ca="1" si="20"/>
        <v>0</v>
      </c>
      <c r="AF16" s="358">
        <f t="shared" ca="1" si="21"/>
        <v>0</v>
      </c>
      <c r="AG16" s="358">
        <f t="shared" ca="1" si="22"/>
        <v>0</v>
      </c>
      <c r="AH16" s="358" t="str" cm="1">
        <f t="array" aca="1" ref="AH16" ca="1">IF(AG16=0,"",
  MATCH(
    AG16,
    _xlfn._xlws.SORT(_xlfn._xlws.FILTER($AG$14:$AG$19,$AG$14:$AG$19&lt;&gt;0)),
    1
  )
)</f>
        <v/>
      </c>
      <c r="AI16" s="359" t="str">
        <f t="shared" ca="1" si="23"/>
        <v/>
      </c>
      <c r="AJ16" s="357">
        <f t="shared" ca="1" si="24"/>
        <v>0</v>
      </c>
      <c r="AK16" s="357" t="str">
        <f ca="1">IFERROR(IF(OR(U16="Fdg",U16="Fd"),(AI16*X16+AJ16*Y16)/1000,X16*AI16/1000),"")</f>
        <v/>
      </c>
      <c r="AL16" s="357" t="str">
        <f t="shared" ca="1" si="26"/>
        <v/>
      </c>
      <c r="AM16" s="357" t="str">
        <f t="shared" ca="1" si="27"/>
        <v/>
      </c>
      <c r="AN16" s="357">
        <f t="shared" ca="1" si="28"/>
        <v>0</v>
      </c>
      <c r="AO16" s="360">
        <f t="shared" ca="1" si="29"/>
        <v>0</v>
      </c>
      <c r="AP16" s="359" t="str">
        <f t="shared" ca="1" si="30"/>
        <v/>
      </c>
      <c r="AQ16" s="357">
        <f t="shared" ca="1" si="31"/>
        <v>0</v>
      </c>
      <c r="AR16" s="357" t="str">
        <f t="shared" ca="1" si="32"/>
        <v/>
      </c>
      <c r="AS16" s="357" t="str">
        <f t="shared" ca="1" si="33"/>
        <v/>
      </c>
      <c r="AT16" s="357" t="str">
        <f t="shared" ca="1" si="34"/>
        <v/>
      </c>
      <c r="AU16" s="357">
        <f t="shared" ca="1" si="35"/>
        <v>0</v>
      </c>
      <c r="AV16" s="360">
        <f t="shared" ca="1" si="36"/>
        <v>0</v>
      </c>
      <c r="AW16" s="361" t="str">
        <f t="shared" ca="1" si="37"/>
        <v/>
      </c>
      <c r="AX16" s="358" t="str">
        <f t="shared" ca="1" si="38"/>
        <v/>
      </c>
      <c r="AY16" s="358">
        <f t="shared" ca="1" si="39"/>
        <v>0</v>
      </c>
      <c r="AZ16" s="358">
        <f t="shared" ca="1" si="40"/>
        <v>0</v>
      </c>
      <c r="BA16" s="358">
        <f t="shared" ca="1" si="41"/>
        <v>0</v>
      </c>
      <c r="BB16" s="358">
        <f t="shared" ca="1" si="42"/>
        <v>0</v>
      </c>
      <c r="BC16" s="360" t="str">
        <f t="shared" ca="1" si="43"/>
        <v/>
      </c>
    </row>
    <row r="17" spans="1:55" s="16" customFormat="1" ht="27.75" customHeight="1" x14ac:dyDescent="0.25">
      <c r="A17" s="260"/>
      <c r="B17" s="387">
        <f t="shared" si="45"/>
        <v>4</v>
      </c>
      <c r="C17" s="181">
        <f t="shared" ca="1" si="1"/>
        <v>0</v>
      </c>
      <c r="D17" s="182" t="str">
        <f t="shared" ca="1" si="2"/>
        <v/>
      </c>
      <c r="E17" s="200" t="str">
        <f t="shared" ca="1" si="3"/>
        <v/>
      </c>
      <c r="F17" s="174" t="str">
        <f t="shared" ca="1" si="4"/>
        <v/>
      </c>
      <c r="G17" s="176" t="str">
        <f t="shared" ca="1" si="5"/>
        <v/>
      </c>
      <c r="H17" s="185" t="str">
        <f t="shared" ca="1" si="6"/>
        <v/>
      </c>
      <c r="I17" s="187" t="str">
        <f t="shared" ca="1" si="7"/>
        <v/>
      </c>
      <c r="J17" s="187" t="str">
        <f t="shared" ca="1" si="8"/>
        <v/>
      </c>
      <c r="K17" s="189" t="str">
        <f t="shared" ca="1" si="9"/>
        <v/>
      </c>
      <c r="L17" s="190" t="str">
        <f t="shared" ca="1" si="10"/>
        <v/>
      </c>
      <c r="M17" s="183" t="str">
        <f t="shared" ca="1" si="11"/>
        <v/>
      </c>
      <c r="N17" s="184" t="str">
        <f t="shared" ca="1" si="12"/>
        <v/>
      </c>
      <c r="O17" s="388" t="str" cm="1">
        <f t="array" aca="1" ref="O17" ca="1">IF(AG17=0,"",
  MATCH(
    AG17,
    _xlfn._xlws.SORT(_xlfn._xlws.FILTER($AG$14:$AG$19,$AG$14:$AG$19&lt;&gt;0)),
    1
  )
)</f>
        <v/>
      </c>
      <c r="S17" s="54"/>
      <c r="T17" s="355" t="str">
        <f t="shared" si="13"/>
        <v>'Dachfläche (4)'!D:H</v>
      </c>
      <c r="U17" s="356" t="str">
        <f t="shared" ca="1" si="14"/>
        <v/>
      </c>
      <c r="V17" s="357" t="str">
        <f t="shared" ca="1" si="44"/>
        <v/>
      </c>
      <c r="W17" s="357" t="str">
        <f t="shared" ca="1" si="15"/>
        <v/>
      </c>
      <c r="X17" s="357">
        <f t="shared" ca="1" si="16"/>
        <v>475</v>
      </c>
      <c r="Y17" s="357">
        <f t="shared" ca="1" si="16"/>
        <v>475</v>
      </c>
      <c r="Z17" s="357" t="str">
        <f t="shared" ca="1" si="17"/>
        <v/>
      </c>
      <c r="AA17" s="357" t="str">
        <f t="shared" ca="1" si="18"/>
        <v/>
      </c>
      <c r="AB17" s="357" t="str" cm="1">
        <f t="array" aca="1" ref="AB17" ca="1">_xlfn.IFS(Z17="krit",1,Z17="unk",0,TRUE,"")</f>
        <v/>
      </c>
      <c r="AC17" s="357" t="str" cm="1">
        <f t="array" aca="1" ref="AC17" ca="1">_xlfn.IFS(AA17="krit",1,AA17="unk",0,TRUE,"")</f>
        <v/>
      </c>
      <c r="AD17" s="357">
        <f t="shared" ca="1" si="19"/>
        <v>0</v>
      </c>
      <c r="AE17" s="357">
        <f t="shared" ca="1" si="20"/>
        <v>0</v>
      </c>
      <c r="AF17" s="358">
        <f t="shared" ca="1" si="21"/>
        <v>0</v>
      </c>
      <c r="AG17" s="358">
        <f t="shared" ca="1" si="22"/>
        <v>0</v>
      </c>
      <c r="AH17" s="358" t="str" cm="1">
        <f t="array" aca="1" ref="AH17" ca="1">IF(AG17=0,"",
  MATCH(
    AG17,
    _xlfn._xlws.SORT(_xlfn._xlws.FILTER($AG$14:$AG$19,$AG$14:$AG$19&lt;&gt;0)),
    1
  )
)</f>
        <v/>
      </c>
      <c r="AI17" s="359" t="str">
        <f t="shared" ca="1" si="23"/>
        <v/>
      </c>
      <c r="AJ17" s="357">
        <f t="shared" ca="1" si="24"/>
        <v>0</v>
      </c>
      <c r="AK17" s="357" t="str">
        <f t="shared" ca="1" si="25"/>
        <v/>
      </c>
      <c r="AL17" s="357" t="str">
        <f t="shared" ca="1" si="26"/>
        <v/>
      </c>
      <c r="AM17" s="357" t="str">
        <f t="shared" ca="1" si="27"/>
        <v/>
      </c>
      <c r="AN17" s="357">
        <f t="shared" ca="1" si="28"/>
        <v>0</v>
      </c>
      <c r="AO17" s="360">
        <f t="shared" ca="1" si="29"/>
        <v>0</v>
      </c>
      <c r="AP17" s="359" t="str">
        <f t="shared" ca="1" si="30"/>
        <v/>
      </c>
      <c r="AQ17" s="357">
        <f t="shared" ca="1" si="31"/>
        <v>0</v>
      </c>
      <c r="AR17" s="357" t="str">
        <f t="shared" ca="1" si="32"/>
        <v/>
      </c>
      <c r="AS17" s="357" t="str">
        <f t="shared" ca="1" si="33"/>
        <v/>
      </c>
      <c r="AT17" s="357" t="str">
        <f t="shared" ca="1" si="34"/>
        <v/>
      </c>
      <c r="AU17" s="357">
        <f t="shared" ca="1" si="35"/>
        <v>0</v>
      </c>
      <c r="AV17" s="360">
        <f t="shared" ca="1" si="36"/>
        <v>0</v>
      </c>
      <c r="AW17" s="361" t="str">
        <f t="shared" ca="1" si="37"/>
        <v/>
      </c>
      <c r="AX17" s="358" t="str">
        <f t="shared" ca="1" si="38"/>
        <v/>
      </c>
      <c r="AY17" s="358">
        <f t="shared" ca="1" si="39"/>
        <v>0</v>
      </c>
      <c r="AZ17" s="358">
        <f t="shared" ca="1" si="40"/>
        <v>0</v>
      </c>
      <c r="BA17" s="358">
        <f t="shared" ca="1" si="41"/>
        <v>0</v>
      </c>
      <c r="BB17" s="358">
        <f t="shared" ca="1" si="42"/>
        <v>0</v>
      </c>
      <c r="BC17" s="360" t="str">
        <f t="shared" ca="1" si="43"/>
        <v/>
      </c>
    </row>
    <row r="18" spans="1:55" s="16" customFormat="1" ht="27.75" customHeight="1" x14ac:dyDescent="0.25">
      <c r="A18" s="260"/>
      <c r="B18" s="387">
        <f t="shared" si="45"/>
        <v>5</v>
      </c>
      <c r="C18" s="181">
        <f t="shared" ca="1" si="1"/>
        <v>0</v>
      </c>
      <c r="D18" s="182" t="str">
        <f t="shared" ca="1" si="2"/>
        <v/>
      </c>
      <c r="E18" s="200" t="str">
        <f t="shared" ca="1" si="3"/>
        <v/>
      </c>
      <c r="F18" s="174" t="str">
        <f t="shared" ca="1" si="4"/>
        <v/>
      </c>
      <c r="G18" s="176" t="str">
        <f t="shared" ca="1" si="5"/>
        <v/>
      </c>
      <c r="H18" s="185" t="str">
        <f t="shared" ca="1" si="6"/>
        <v/>
      </c>
      <c r="I18" s="187" t="str">
        <f t="shared" ca="1" si="7"/>
        <v/>
      </c>
      <c r="J18" s="187" t="str">
        <f t="shared" ca="1" si="8"/>
        <v/>
      </c>
      <c r="K18" s="189" t="str">
        <f t="shared" ca="1" si="9"/>
        <v/>
      </c>
      <c r="L18" s="190" t="str">
        <f t="shared" ca="1" si="10"/>
        <v/>
      </c>
      <c r="M18" s="183" t="str">
        <f t="shared" ca="1" si="11"/>
        <v/>
      </c>
      <c r="N18" s="184" t="str">
        <f t="shared" ca="1" si="12"/>
        <v/>
      </c>
      <c r="O18" s="388" t="str" cm="1">
        <f t="array" aca="1" ref="O18" ca="1">IF(AG18=0,"",
  MATCH(
    AG18,
    _xlfn._xlws.SORT(_xlfn._xlws.FILTER($AG$14:$AG$19,$AG$14:$AG$19&lt;&gt;0)),
    1
  )
)</f>
        <v/>
      </c>
      <c r="S18" s="54"/>
      <c r="T18" s="355" t="str">
        <f t="shared" si="13"/>
        <v>'Dachfläche (5)'!D:H</v>
      </c>
      <c r="U18" s="356" t="str">
        <f t="shared" ca="1" si="14"/>
        <v/>
      </c>
      <c r="V18" s="357" t="str">
        <f t="shared" ca="1" si="44"/>
        <v/>
      </c>
      <c r="W18" s="357" t="str">
        <f t="shared" ca="1" si="15"/>
        <v/>
      </c>
      <c r="X18" s="357">
        <f t="shared" ca="1" si="16"/>
        <v>475</v>
      </c>
      <c r="Y18" s="357">
        <f t="shared" ca="1" si="16"/>
        <v>475</v>
      </c>
      <c r="Z18" s="357" t="str">
        <f t="shared" ca="1" si="17"/>
        <v/>
      </c>
      <c r="AA18" s="357" t="str">
        <f t="shared" ca="1" si="18"/>
        <v/>
      </c>
      <c r="AB18" s="357" t="str" cm="1">
        <f t="array" aca="1" ref="AB18" ca="1">_xlfn.IFS(Z18="krit",1,Z18="unk",0,TRUE,"")</f>
        <v/>
      </c>
      <c r="AC18" s="357" t="str" cm="1">
        <f t="array" aca="1" ref="AC18" ca="1">_xlfn.IFS(AA18="krit",1,AA18="unk",0,TRUE,"")</f>
        <v/>
      </c>
      <c r="AD18" s="357">
        <f t="shared" ca="1" si="19"/>
        <v>0</v>
      </c>
      <c r="AE18" s="357">
        <f t="shared" ca="1" si="20"/>
        <v>0</v>
      </c>
      <c r="AF18" s="358">
        <f t="shared" ca="1" si="21"/>
        <v>0</v>
      </c>
      <c r="AG18" s="358">
        <f t="shared" ca="1" si="22"/>
        <v>0</v>
      </c>
      <c r="AH18" s="358" t="str" cm="1">
        <f t="array" aca="1" ref="AH18" ca="1">IF(AG18=0,"",
  MATCH(
    AG18,
    _xlfn._xlws.SORT(_xlfn._xlws.FILTER($AG$14:$AG$19,$AG$14:$AG$19&lt;&gt;0)),
    1
  )
)</f>
        <v/>
      </c>
      <c r="AI18" s="359" t="str">
        <f t="shared" ca="1" si="23"/>
        <v/>
      </c>
      <c r="AJ18" s="357">
        <f t="shared" ca="1" si="24"/>
        <v>0</v>
      </c>
      <c r="AK18" s="357" t="str">
        <f t="shared" ca="1" si="25"/>
        <v/>
      </c>
      <c r="AL18" s="357" t="str">
        <f t="shared" ca="1" si="26"/>
        <v/>
      </c>
      <c r="AM18" s="357" t="str">
        <f t="shared" ca="1" si="27"/>
        <v/>
      </c>
      <c r="AN18" s="357">
        <f t="shared" ca="1" si="28"/>
        <v>0</v>
      </c>
      <c r="AO18" s="360">
        <f t="shared" ca="1" si="29"/>
        <v>0</v>
      </c>
      <c r="AP18" s="359" t="str">
        <f t="shared" ca="1" si="30"/>
        <v/>
      </c>
      <c r="AQ18" s="357">
        <f t="shared" ca="1" si="31"/>
        <v>0</v>
      </c>
      <c r="AR18" s="357" t="str">
        <f t="shared" ca="1" si="32"/>
        <v/>
      </c>
      <c r="AS18" s="357" t="str">
        <f t="shared" ca="1" si="33"/>
        <v/>
      </c>
      <c r="AT18" s="357" t="str">
        <f t="shared" ca="1" si="34"/>
        <v/>
      </c>
      <c r="AU18" s="357">
        <f t="shared" ca="1" si="35"/>
        <v>0</v>
      </c>
      <c r="AV18" s="360">
        <f t="shared" ca="1" si="36"/>
        <v>0</v>
      </c>
      <c r="AW18" s="361" t="str">
        <f t="shared" ca="1" si="37"/>
        <v/>
      </c>
      <c r="AX18" s="358" t="str">
        <f t="shared" ca="1" si="38"/>
        <v/>
      </c>
      <c r="AY18" s="358">
        <f t="shared" ca="1" si="39"/>
        <v>0</v>
      </c>
      <c r="AZ18" s="358">
        <f t="shared" ca="1" si="40"/>
        <v>0</v>
      </c>
      <c r="BA18" s="358">
        <f t="shared" ca="1" si="41"/>
        <v>0</v>
      </c>
      <c r="BB18" s="358">
        <f t="shared" ca="1" si="42"/>
        <v>0</v>
      </c>
      <c r="BC18" s="360" t="str">
        <f t="shared" ca="1" si="43"/>
        <v/>
      </c>
    </row>
    <row r="19" spans="1:55" s="16" customFormat="1" ht="27.75" customHeight="1" x14ac:dyDescent="0.25">
      <c r="A19" s="260"/>
      <c r="B19" s="387">
        <f t="shared" si="45"/>
        <v>6</v>
      </c>
      <c r="C19" s="181">
        <f t="shared" ca="1" si="1"/>
        <v>0</v>
      </c>
      <c r="D19" s="182" t="str">
        <f t="shared" ca="1" si="2"/>
        <v/>
      </c>
      <c r="E19" s="200" t="str">
        <f t="shared" ca="1" si="3"/>
        <v/>
      </c>
      <c r="F19" s="174" t="str">
        <f t="shared" ca="1" si="4"/>
        <v/>
      </c>
      <c r="G19" s="176" t="str">
        <f t="shared" ca="1" si="5"/>
        <v/>
      </c>
      <c r="H19" s="185" t="str">
        <f t="shared" ca="1" si="6"/>
        <v/>
      </c>
      <c r="I19" s="187" t="str">
        <f t="shared" ca="1" si="7"/>
        <v/>
      </c>
      <c r="J19" s="187" t="str">
        <f t="shared" ca="1" si="8"/>
        <v/>
      </c>
      <c r="K19" s="189" t="str">
        <f t="shared" ca="1" si="9"/>
        <v/>
      </c>
      <c r="L19" s="190" t="str">
        <f t="shared" ca="1" si="10"/>
        <v/>
      </c>
      <c r="M19" s="183" t="str">
        <f t="shared" ca="1" si="11"/>
        <v/>
      </c>
      <c r="N19" s="184" t="str">
        <f t="shared" ca="1" si="12"/>
        <v/>
      </c>
      <c r="O19" s="388" t="str" cm="1">
        <f t="array" aca="1" ref="O19" ca="1">IF(AG19=0,"",
  MATCH(
    AG19,
    _xlfn._xlws.SORT(_xlfn._xlws.FILTER($AG$14:$AG$19,$AG$14:$AG$19&lt;&gt;0)),
    1
  )
)</f>
        <v/>
      </c>
      <c r="S19" s="54"/>
      <c r="T19" s="355" t="str">
        <f t="shared" si="13"/>
        <v>'Dachfläche (6)'!D:H</v>
      </c>
      <c r="U19" s="356" t="str">
        <f t="shared" ca="1" si="14"/>
        <v/>
      </c>
      <c r="V19" s="357" t="str">
        <f t="shared" ca="1" si="44"/>
        <v/>
      </c>
      <c r="W19" s="357" t="str">
        <f t="shared" ca="1" si="15"/>
        <v/>
      </c>
      <c r="X19" s="357">
        <f t="shared" ca="1" si="16"/>
        <v>475</v>
      </c>
      <c r="Y19" s="357">
        <f t="shared" ca="1" si="16"/>
        <v>475</v>
      </c>
      <c r="Z19" s="357" t="str">
        <f t="shared" ca="1" si="17"/>
        <v/>
      </c>
      <c r="AA19" s="357" t="str">
        <f t="shared" ca="1" si="18"/>
        <v/>
      </c>
      <c r="AB19" s="357" t="str" cm="1">
        <f t="array" aca="1" ref="AB19" ca="1">_xlfn.IFS(Z19="krit",1,Z19="unk",0,TRUE,"")</f>
        <v/>
      </c>
      <c r="AC19" s="357" t="str" cm="1">
        <f t="array" aca="1" ref="AC19" ca="1">_xlfn.IFS(AA19="krit",1,AA19="unk",0,TRUE,"")</f>
        <v/>
      </c>
      <c r="AD19" s="357">
        <f t="shared" ca="1" si="19"/>
        <v>0</v>
      </c>
      <c r="AE19" s="357">
        <f t="shared" ca="1" si="20"/>
        <v>0</v>
      </c>
      <c r="AF19" s="358">
        <f t="shared" ca="1" si="21"/>
        <v>0</v>
      </c>
      <c r="AG19" s="358">
        <f t="shared" ca="1" si="22"/>
        <v>0</v>
      </c>
      <c r="AH19" s="358" t="str" cm="1">
        <f t="array" aca="1" ref="AH19" ca="1">IF(AG19=0,"",
  MATCH(
    AG19,
    _xlfn._xlws.SORT(_xlfn._xlws.FILTER($AG$14:$AG$19,$AG$14:$AG$19&lt;&gt;0)),
    1
  )
)</f>
        <v/>
      </c>
      <c r="AI19" s="359" t="str">
        <f t="shared" ca="1" si="23"/>
        <v/>
      </c>
      <c r="AJ19" s="357">
        <f t="shared" ca="1" si="24"/>
        <v>0</v>
      </c>
      <c r="AK19" s="357" t="str">
        <f t="shared" ca="1" si="25"/>
        <v/>
      </c>
      <c r="AL19" s="357" t="str">
        <f t="shared" ca="1" si="26"/>
        <v/>
      </c>
      <c r="AM19" s="357" t="str">
        <f t="shared" ca="1" si="27"/>
        <v/>
      </c>
      <c r="AN19" s="357">
        <f t="shared" ca="1" si="28"/>
        <v>0</v>
      </c>
      <c r="AO19" s="360">
        <f t="shared" ca="1" si="29"/>
        <v>0</v>
      </c>
      <c r="AP19" s="359" t="str">
        <f t="shared" ca="1" si="30"/>
        <v/>
      </c>
      <c r="AQ19" s="357">
        <f t="shared" ca="1" si="31"/>
        <v>0</v>
      </c>
      <c r="AR19" s="357" t="str">
        <f t="shared" ca="1" si="32"/>
        <v/>
      </c>
      <c r="AS19" s="357" t="str">
        <f t="shared" ca="1" si="33"/>
        <v/>
      </c>
      <c r="AT19" s="357" t="str">
        <f t="shared" ca="1" si="34"/>
        <v/>
      </c>
      <c r="AU19" s="357">
        <f t="shared" ca="1" si="35"/>
        <v>0</v>
      </c>
      <c r="AV19" s="360">
        <f t="shared" ca="1" si="36"/>
        <v>0</v>
      </c>
      <c r="AW19" s="361" t="str">
        <f t="shared" ca="1" si="37"/>
        <v/>
      </c>
      <c r="AX19" s="358" t="str">
        <f t="shared" ca="1" si="38"/>
        <v/>
      </c>
      <c r="AY19" s="358">
        <f t="shared" ca="1" si="39"/>
        <v>0</v>
      </c>
      <c r="AZ19" s="358">
        <f t="shared" ca="1" si="40"/>
        <v>0</v>
      </c>
      <c r="BA19" s="358">
        <f t="shared" ca="1" si="41"/>
        <v>0</v>
      </c>
      <c r="BB19" s="358">
        <f t="shared" ca="1" si="42"/>
        <v>0</v>
      </c>
      <c r="BC19" s="360" t="str">
        <f t="shared" ca="1" si="43"/>
        <v/>
      </c>
    </row>
    <row r="20" spans="1:55" s="16" customFormat="1" ht="19.149999999999999" customHeight="1" thickBot="1" x14ac:dyDescent="0.3">
      <c r="A20" s="260"/>
      <c r="B20" s="673" t="s">
        <v>21</v>
      </c>
      <c r="C20" s="674"/>
      <c r="D20" s="389">
        <f ca="1">SUM(D14:D19)</f>
        <v>0</v>
      </c>
      <c r="E20" s="390"/>
      <c r="F20" s="390"/>
      <c r="G20" s="391"/>
      <c r="H20" s="392"/>
      <c r="I20" s="393">
        <f ca="1">SUM(AI14:AJ19)</f>
        <v>0</v>
      </c>
      <c r="J20" s="393">
        <f ca="1">SUM(AP14:AQ19)</f>
        <v>0</v>
      </c>
      <c r="K20" s="394">
        <f ca="1">SUM(K14:K19)</f>
        <v>0</v>
      </c>
      <c r="L20" s="394">
        <f ca="1">SUM(L14:L19)</f>
        <v>0</v>
      </c>
      <c r="M20" s="395">
        <f ca="1">SUM(M14:M19)</f>
        <v>0</v>
      </c>
      <c r="N20" s="396">
        <f ca="1">SUM(N14:N19)</f>
        <v>0</v>
      </c>
      <c r="O20" s="397"/>
      <c r="S20" s="54"/>
      <c r="T20" s="362"/>
      <c r="U20" s="363"/>
      <c r="V20" s="364"/>
      <c r="W20" s="364"/>
      <c r="X20" s="364"/>
      <c r="Y20" s="364"/>
      <c r="Z20" s="364"/>
      <c r="AA20" s="364"/>
      <c r="AB20" s="364"/>
      <c r="AC20" s="364"/>
      <c r="AD20" s="364"/>
      <c r="AE20" s="364"/>
      <c r="AF20" s="364"/>
      <c r="AG20" s="364"/>
      <c r="AH20" s="364"/>
      <c r="AI20" s="365">
        <f ca="1">SUM(AI14:AI19)</f>
        <v>0</v>
      </c>
      <c r="AJ20" s="364">
        <f ca="1">SUM(AJ14:AJ19)</f>
        <v>0</v>
      </c>
      <c r="AK20" s="366">
        <f ca="1">SUM(AK14:AK19)</f>
        <v>0</v>
      </c>
      <c r="AL20" s="364"/>
      <c r="AM20" s="366">
        <f t="shared" ref="AM20:AR20" ca="1" si="46">SUM(AM14:AM19)</f>
        <v>0</v>
      </c>
      <c r="AN20" s="364">
        <f t="shared" ca="1" si="46"/>
        <v>0</v>
      </c>
      <c r="AO20" s="367">
        <f t="shared" ca="1" si="46"/>
        <v>0</v>
      </c>
      <c r="AP20" s="365">
        <f t="shared" ca="1" si="46"/>
        <v>0</v>
      </c>
      <c r="AQ20" s="364">
        <f t="shared" ca="1" si="46"/>
        <v>0</v>
      </c>
      <c r="AR20" s="366">
        <f t="shared" ca="1" si="46"/>
        <v>0</v>
      </c>
      <c r="AS20" s="364"/>
      <c r="AT20" s="366">
        <f t="shared" ref="AT20:AY20" ca="1" si="47">SUM(AT14:AT19)</f>
        <v>0</v>
      </c>
      <c r="AU20" s="364">
        <f t="shared" ca="1" si="47"/>
        <v>0</v>
      </c>
      <c r="AV20" s="367">
        <f t="shared" ca="1" si="47"/>
        <v>0</v>
      </c>
      <c r="AW20" s="365">
        <f t="shared" ca="1" si="47"/>
        <v>0</v>
      </c>
      <c r="AX20" s="368">
        <f t="shared" ca="1" si="47"/>
        <v>0</v>
      </c>
      <c r="AY20" s="368">
        <f t="shared" ca="1" si="47"/>
        <v>0</v>
      </c>
      <c r="AZ20" s="368">
        <f ca="1">AZ19</f>
        <v>0</v>
      </c>
      <c r="BA20" s="368">
        <f ca="1">SUM(BA14:BA19)</f>
        <v>0</v>
      </c>
      <c r="BB20" s="368">
        <f ca="1">BB19</f>
        <v>0</v>
      </c>
      <c r="BC20" s="369"/>
    </row>
    <row r="21" spans="1:55" ht="12.75" customHeight="1" x14ac:dyDescent="0.2"/>
    <row r="22" spans="1:55" s="12" customFormat="1" ht="21" thickBot="1" x14ac:dyDescent="0.35">
      <c r="A22" s="259"/>
      <c r="B22" s="671" t="s">
        <v>196</v>
      </c>
      <c r="C22" s="671"/>
      <c r="D22" s="671"/>
      <c r="E22" s="671"/>
      <c r="F22" s="671"/>
      <c r="G22" s="671"/>
      <c r="H22" s="671"/>
      <c r="I22" s="671"/>
      <c r="J22" s="671"/>
      <c r="K22" s="671"/>
      <c r="L22" s="671"/>
      <c r="M22" s="671"/>
      <c r="N22" s="671"/>
      <c r="O22" s="671"/>
      <c r="S22" s="66"/>
      <c r="T22" s="66"/>
      <c r="U22" s="194"/>
      <c r="V22" s="53"/>
      <c r="W22" s="53"/>
      <c r="X22" s="53"/>
      <c r="Y22" s="53"/>
      <c r="Z22" s="53"/>
      <c r="AA22" s="53"/>
      <c r="AB22" s="53"/>
      <c r="AC22" s="53"/>
      <c r="AD22" s="53"/>
      <c r="AE22" s="53"/>
      <c r="AF22" s="53"/>
      <c r="AG22" s="53"/>
      <c r="AH22" s="53"/>
      <c r="AI22" s="53"/>
      <c r="AJ22" s="53"/>
      <c r="AK22" s="53"/>
      <c r="AL22" s="53"/>
      <c r="AM22" s="53"/>
      <c r="AN22" s="53"/>
      <c r="AO22" s="53"/>
      <c r="AP22" s="53"/>
      <c r="AQ22" s="53"/>
      <c r="AR22" s="53"/>
    </row>
    <row r="23" spans="1:55" s="16" customFormat="1" ht="19.149999999999999" customHeight="1" thickTop="1" x14ac:dyDescent="0.25">
      <c r="A23" s="260"/>
      <c r="B23" s="427" t="s">
        <v>99</v>
      </c>
      <c r="C23" s="416"/>
      <c r="D23" s="660" t="s">
        <v>383</v>
      </c>
      <c r="E23" s="660"/>
      <c r="F23" s="660"/>
      <c r="G23" s="660"/>
      <c r="H23" s="660"/>
      <c r="I23" s="660"/>
      <c r="J23" s="660"/>
      <c r="K23" s="661" t="s">
        <v>384</v>
      </c>
      <c r="L23" s="661"/>
      <c r="M23" s="661"/>
      <c r="N23" s="661"/>
      <c r="O23" s="661"/>
      <c r="S23" s="54"/>
      <c r="T23" s="54"/>
      <c r="U23" s="195"/>
      <c r="V23" s="54"/>
      <c r="W23" s="54"/>
      <c r="X23" s="54"/>
      <c r="Y23" s="54"/>
      <c r="Z23" s="54"/>
      <c r="AA23" s="54"/>
      <c r="AB23" s="54"/>
      <c r="AC23" s="54"/>
      <c r="AD23" s="54"/>
      <c r="AE23" s="54"/>
      <c r="AF23" s="54"/>
      <c r="AG23" s="54"/>
      <c r="AH23" s="54"/>
      <c r="AI23" s="54"/>
      <c r="AJ23" s="54"/>
      <c r="AK23" s="54"/>
      <c r="AL23" s="54"/>
      <c r="AM23" s="54"/>
      <c r="AN23" s="54"/>
      <c r="AO23" s="54"/>
      <c r="AP23" s="54"/>
      <c r="AQ23" s="58"/>
      <c r="AR23" s="58"/>
    </row>
    <row r="24" spans="1:55" s="16" customFormat="1" ht="19.149999999999999" customHeight="1" x14ac:dyDescent="0.25">
      <c r="A24" s="260"/>
      <c r="B24" s="418"/>
      <c r="C24" s="417"/>
      <c r="D24" s="640" t="s">
        <v>86</v>
      </c>
      <c r="E24" s="640"/>
      <c r="F24" s="640"/>
      <c r="G24" s="640" t="s">
        <v>70</v>
      </c>
      <c r="H24" s="640"/>
      <c r="I24" s="640"/>
      <c r="J24" s="640"/>
      <c r="K24" s="662" t="s">
        <v>86</v>
      </c>
      <c r="L24" s="663"/>
      <c r="M24" s="664" t="s">
        <v>70</v>
      </c>
      <c r="N24" s="664"/>
      <c r="O24" s="664"/>
      <c r="R24" s="589"/>
      <c r="S24" s="54"/>
      <c r="T24" s="54"/>
      <c r="U24" s="195"/>
      <c r="V24" s="54"/>
      <c r="W24" s="54"/>
      <c r="X24" s="54"/>
      <c r="Y24" s="54"/>
      <c r="Z24" s="54"/>
      <c r="AA24" s="54"/>
      <c r="AB24" s="54"/>
      <c r="AC24" s="54"/>
      <c r="AD24" s="54"/>
      <c r="AE24" s="54"/>
      <c r="AF24" s="54"/>
      <c r="AG24" s="54"/>
      <c r="AH24" s="54"/>
      <c r="AI24" s="54"/>
      <c r="AJ24" s="54"/>
      <c r="AK24" s="54"/>
      <c r="AL24" s="54"/>
      <c r="AM24" s="54"/>
      <c r="AN24" s="54"/>
      <c r="AO24" s="54"/>
      <c r="AP24" s="54"/>
      <c r="AQ24" s="54"/>
      <c r="AR24" s="54"/>
    </row>
    <row r="25" spans="1:55" s="16" customFormat="1" ht="19.149999999999999" customHeight="1" thickBot="1" x14ac:dyDescent="0.3">
      <c r="A25" s="260"/>
      <c r="B25" s="428" t="s">
        <v>39</v>
      </c>
      <c r="C25" s="429"/>
      <c r="D25" s="641"/>
      <c r="E25" s="641"/>
      <c r="F25" s="641"/>
      <c r="G25" s="611">
        <f ca="1">IF(ISNUMBER($D$27),0,IF(ISNUMBER(D25),D25,_Anlageleistung_t.Vb.*_Referenzkosten_t.Vb._exkl)*_MWSt_Faktor)</f>
        <v>0</v>
      </c>
      <c r="H25" s="611"/>
      <c r="I25" s="611"/>
      <c r="J25" t="s">
        <v>31</v>
      </c>
      <c r="K25" s="639"/>
      <c r="L25" s="639"/>
      <c r="M25" s="611">
        <f ca="1">IF(ISNUMBER(K27),0,IF(ISNUMBER(K25),K25,_Anlageleistung_g.Min.*_Referenzkosten_g.Min._exkl*_MWSt_Faktor))</f>
        <v>0</v>
      </c>
      <c r="N25" s="611"/>
      <c r="O25" t="s">
        <v>31</v>
      </c>
      <c r="S25" s="54"/>
      <c r="T25" s="54"/>
      <c r="U25" s="195"/>
      <c r="V25" s="54"/>
      <c r="W25" s="54"/>
      <c r="X25" s="54"/>
      <c r="Y25" s="54"/>
      <c r="Z25" s="54"/>
      <c r="AA25" s="54"/>
      <c r="AB25" s="54"/>
      <c r="AC25" s="54"/>
      <c r="AD25" s="54"/>
      <c r="AE25" s="54"/>
      <c r="AF25" s="54"/>
      <c r="AG25" s="54"/>
      <c r="AH25" s="54"/>
      <c r="AI25" s="54"/>
      <c r="AJ25" s="54"/>
      <c r="AK25" s="54"/>
      <c r="AL25" s="54"/>
      <c r="AM25" s="54"/>
      <c r="AN25" s="54"/>
      <c r="AO25" s="54"/>
      <c r="AP25" s="54"/>
      <c r="AQ25" s="59"/>
      <c r="AR25" s="59"/>
    </row>
    <row r="26" spans="1:55" s="16" customFormat="1" ht="19.149999999999999" customHeight="1" thickTop="1" thickBot="1" x14ac:dyDescent="0.3">
      <c r="A26" s="260"/>
      <c r="B26" t="s">
        <v>239</v>
      </c>
      <c r="C26"/>
      <c r="D26" s="642"/>
      <c r="E26" s="642"/>
      <c r="F26" s="642"/>
      <c r="G26" s="611">
        <f ca="1">IF(ISNUMBER(D27),0,IF(ISNUMBER(D26),D26,SUMPRODUCT(AB14:AC19,AI14:AJ19)*_Aufpreis_Blendarm*_MWSt_Faktor))</f>
        <v>0</v>
      </c>
      <c r="H26" s="611"/>
      <c r="I26" s="611"/>
      <c r="J26" t="s">
        <v>31</v>
      </c>
      <c r="K26" s="614"/>
      <c r="L26" s="614"/>
      <c r="M26" s="611">
        <f ca="1">IF(ISNUMBER(K27),0,IF(ISNUMBER(K26),K26,SUMPRODUCT(AB14:AC19,AP14:AQ19)*_Aufpreis_Blendarm*_MWSt_Faktor))</f>
        <v>0</v>
      </c>
      <c r="N26" s="611"/>
      <c r="O26" t="s">
        <v>31</v>
      </c>
      <c r="S26" s="54"/>
      <c r="T26" s="54"/>
      <c r="U26" s="195"/>
      <c r="V26" s="54"/>
      <c r="W26" s="54"/>
      <c r="X26" s="54"/>
      <c r="Y26" s="54"/>
      <c r="Z26" s="54"/>
      <c r="AA26" s="54"/>
      <c r="AB26" s="54"/>
      <c r="AC26" s="54"/>
      <c r="AD26" s="54"/>
      <c r="AE26" s="54"/>
      <c r="AF26" s="54"/>
      <c r="AG26" s="54"/>
      <c r="AH26" s="54"/>
      <c r="AI26" s="54"/>
      <c r="AJ26" s="54"/>
      <c r="AK26" s="54"/>
      <c r="AL26" s="54"/>
      <c r="AM26" s="54"/>
      <c r="AN26" s="54"/>
      <c r="AO26" s="54"/>
      <c r="AP26" s="54"/>
      <c r="AQ26" s="59"/>
      <c r="AR26" s="59"/>
    </row>
    <row r="27" spans="1:55" s="156" customFormat="1" ht="17.25" thickTop="1" x14ac:dyDescent="0.25">
      <c r="A27" s="267"/>
      <c r="B27" s="655" t="str">
        <f>"Kosten Total"</f>
        <v>Kosten Total</v>
      </c>
      <c r="C27" s="655"/>
      <c r="D27" s="652"/>
      <c r="E27" s="652"/>
      <c r="F27" s="652"/>
      <c r="G27" s="653">
        <f ca="1">IF(ISNUMBER(D27),D27,SUM(G25:J26))</f>
        <v>0</v>
      </c>
      <c r="H27" s="653"/>
      <c r="I27" s="653"/>
      <c r="J27" s="6" t="s">
        <v>31</v>
      </c>
      <c r="K27" s="656"/>
      <c r="L27" s="656"/>
      <c r="M27" s="653">
        <f ca="1">IF(_Anlageleistung_g.Min.&gt;0,IF(ISNUMBER(K27),K27,SUM(M25:M26)),0)</f>
        <v>0</v>
      </c>
      <c r="N27" s="653"/>
      <c r="O27" s="6" t="s">
        <v>31</v>
      </c>
      <c r="S27" s="58"/>
      <c r="T27" s="58"/>
      <c r="U27" s="228"/>
      <c r="V27" s="58"/>
      <c r="W27" s="58"/>
      <c r="X27" s="58"/>
      <c r="Y27" s="58"/>
      <c r="Z27" s="58"/>
      <c r="AA27" s="58"/>
      <c r="AB27" s="58"/>
      <c r="AC27" s="58"/>
      <c r="AD27" s="58"/>
      <c r="AE27" s="58"/>
      <c r="AF27" s="58"/>
      <c r="AG27" s="58"/>
      <c r="AH27" s="58"/>
      <c r="AI27" s="58"/>
      <c r="AJ27" s="58"/>
      <c r="AK27" s="58"/>
      <c r="AL27" s="58"/>
      <c r="AM27" s="58"/>
      <c r="AN27" s="58"/>
      <c r="AO27" s="58"/>
      <c r="AP27" s="58"/>
      <c r="AQ27" s="229"/>
      <c r="AR27" s="229"/>
    </row>
    <row r="28" spans="1:55" s="156" customFormat="1" ht="16.5" x14ac:dyDescent="0.25">
      <c r="A28" s="267"/>
      <c r="B28" s="620" t="str">
        <f>IF(_MWSt_pflichtig,"(exkl. MWSt.)","(inkl. MWSt.)")</f>
        <v>(inkl. MWSt.)</v>
      </c>
      <c r="C28" s="621"/>
      <c r="D28" s="410"/>
      <c r="E28" s="410"/>
      <c r="F28" s="420"/>
      <c r="G28" s="411"/>
      <c r="H28" s="411"/>
      <c r="I28" s="411"/>
      <c r="J28" s="419"/>
      <c r="K28" s="413"/>
      <c r="L28" s="421"/>
      <c r="M28" s="411"/>
      <c r="N28" s="411"/>
      <c r="O28" s="412"/>
      <c r="S28" s="58"/>
      <c r="T28" s="58"/>
      <c r="U28" s="228"/>
      <c r="V28" s="58"/>
      <c r="W28" s="58"/>
      <c r="X28" s="58"/>
      <c r="Y28" s="58"/>
      <c r="Z28" s="58"/>
      <c r="AA28" s="58"/>
      <c r="AB28" s="58"/>
      <c r="AC28" s="58"/>
      <c r="AD28" s="58"/>
      <c r="AE28" s="58"/>
      <c r="AF28" s="58"/>
      <c r="AG28" s="58"/>
      <c r="AH28" s="58"/>
      <c r="AI28" s="58"/>
      <c r="AJ28" s="58"/>
      <c r="AK28" s="58"/>
      <c r="AL28" s="58"/>
      <c r="AM28" s="58"/>
      <c r="AN28" s="58"/>
      <c r="AO28" s="58"/>
      <c r="AP28" s="58"/>
      <c r="AQ28" s="229"/>
      <c r="AR28" s="229"/>
    </row>
    <row r="29" spans="1:55" s="16" customFormat="1" ht="19.149999999999999" customHeight="1" x14ac:dyDescent="0.25">
      <c r="A29" s="260"/>
      <c r="B29" s="398" t="s">
        <v>386</v>
      </c>
      <c r="C29" s="398"/>
      <c r="D29" s="414"/>
      <c r="E29" s="414"/>
      <c r="F29" s="414"/>
      <c r="G29" s="371"/>
      <c r="H29" s="371"/>
      <c r="I29" s="371"/>
      <c r="J29"/>
      <c r="K29" s="415"/>
      <c r="L29" s="415"/>
      <c r="M29" s="371"/>
      <c r="N29" s="371"/>
      <c r="O29"/>
      <c r="S29" s="54"/>
      <c r="T29" s="54"/>
      <c r="U29" s="195"/>
      <c r="V29" s="54"/>
      <c r="W29" s="54"/>
      <c r="X29" s="54"/>
      <c r="Y29" s="54"/>
      <c r="Z29" s="54"/>
      <c r="AA29" s="54"/>
      <c r="AB29" s="54"/>
      <c r="AC29" s="54"/>
      <c r="AD29" s="54"/>
      <c r="AE29" s="54"/>
      <c r="AF29" s="54"/>
      <c r="AG29" s="54"/>
      <c r="AH29" s="54"/>
      <c r="AI29" s="54"/>
      <c r="AJ29" s="54"/>
      <c r="AK29" s="54"/>
      <c r="AL29" s="54"/>
      <c r="AM29" s="54"/>
      <c r="AN29" s="54"/>
      <c r="AO29" s="54"/>
      <c r="AP29" s="54"/>
      <c r="AQ29" s="59"/>
      <c r="AR29" s="59"/>
    </row>
    <row r="30" spans="1:55" s="16" customFormat="1" ht="19.149999999999999" customHeight="1" thickBot="1" x14ac:dyDescent="0.3">
      <c r="A30" s="260"/>
      <c r="B30" t="s">
        <v>387</v>
      </c>
      <c r="C30"/>
      <c r="D30" s="641"/>
      <c r="E30" s="641"/>
      <c r="F30" s="641"/>
      <c r="G30" s="611">
        <f ca="1">IF(ISNUMBER(D33),0,IF(ISNUMBER(D30),D30,-_EIV_t.Vb.))</f>
        <v>0</v>
      </c>
      <c r="H30" s="611"/>
      <c r="I30" s="611"/>
      <c r="J30" t="s">
        <v>31</v>
      </c>
      <c r="K30" s="639"/>
      <c r="L30" s="639"/>
      <c r="M30" s="611">
        <f ca="1">IF(ISNUMBER(K33),0,IF(ISNUMBER(K30),K30,-_EIV_g.Min.))</f>
        <v>0</v>
      </c>
      <c r="N30" s="611"/>
      <c r="O30" t="s">
        <v>31</v>
      </c>
      <c r="S30" s="54"/>
      <c r="T30" s="54"/>
      <c r="U30" s="195"/>
      <c r="V30" s="54"/>
      <c r="W30" s="54"/>
      <c r="X30" s="54"/>
      <c r="Y30" s="54"/>
      <c r="Z30" s="54"/>
      <c r="AA30" s="54"/>
      <c r="AB30" s="54"/>
      <c r="AC30" s="54"/>
      <c r="AD30" s="54"/>
      <c r="AE30" s="54"/>
      <c r="AF30" s="54"/>
      <c r="AG30" s="54"/>
      <c r="AH30" s="54"/>
      <c r="AI30" s="54"/>
      <c r="AJ30" s="54"/>
      <c r="AK30" s="54"/>
      <c r="AL30" s="54"/>
      <c r="AM30" s="54"/>
      <c r="AN30" s="54"/>
      <c r="AO30" s="54"/>
      <c r="AP30" s="54"/>
      <c r="AQ30" s="59"/>
      <c r="AR30" s="59"/>
    </row>
    <row r="31" spans="1:55" s="16" customFormat="1" ht="19.149999999999999" customHeight="1" thickTop="1" thickBot="1" x14ac:dyDescent="0.3">
      <c r="A31" s="260"/>
      <c r="B31" t="s">
        <v>216</v>
      </c>
      <c r="C31"/>
      <c r="D31" s="642"/>
      <c r="E31" s="642"/>
      <c r="F31" s="642"/>
      <c r="G31" s="611">
        <f ca="1">IF(ISNUMBER(D33),0,IF(ISNUMBER(D31),D31,-(SUMPRODUCT(AD14:AD19,AK14:AK19)*_Bonus_Neigungswinkel_Bund)))</f>
        <v>0</v>
      </c>
      <c r="H31" s="611"/>
      <c r="I31" s="611"/>
      <c r="J31" t="s">
        <v>31</v>
      </c>
      <c r="K31" s="614"/>
      <c r="L31" s="614"/>
      <c r="M31" s="611">
        <f ca="1">IF(ISNUMBER(K33),0,IF(ISNUMBER(K31),K31,-(SUMPRODUCT(AD14:AD19,AR14:AR19)*_Bonus_Neigungswinkel_Bund)))</f>
        <v>0</v>
      </c>
      <c r="N31" s="611"/>
      <c r="O31" t="s">
        <v>31</v>
      </c>
      <c r="S31" s="54"/>
      <c r="T31" s="54"/>
      <c r="U31" s="195"/>
      <c r="V31" s="54"/>
      <c r="W31" s="54"/>
      <c r="X31" s="54"/>
      <c r="Y31" s="54"/>
      <c r="Z31" s="54"/>
      <c r="AA31" s="54"/>
      <c r="AB31" s="54"/>
      <c r="AC31" s="54"/>
      <c r="AD31" s="54"/>
      <c r="AE31" s="54"/>
      <c r="AF31" s="54"/>
      <c r="AG31" s="54"/>
      <c r="AH31" s="54"/>
      <c r="AI31" s="54"/>
      <c r="AJ31" s="54"/>
      <c r="AK31" s="54"/>
      <c r="AL31" s="54"/>
      <c r="AM31" s="54"/>
      <c r="AN31" s="54"/>
      <c r="AO31" s="54"/>
      <c r="AP31" s="54"/>
      <c r="AQ31" s="59"/>
      <c r="AR31" s="59"/>
    </row>
    <row r="32" spans="1:55" s="16" customFormat="1" ht="19.149999999999999" customHeight="1" thickTop="1" thickBot="1" x14ac:dyDescent="0.3">
      <c r="A32" s="260"/>
      <c r="B32" t="s">
        <v>225</v>
      </c>
      <c r="C32"/>
      <c r="D32" s="642"/>
      <c r="E32" s="642"/>
      <c r="F32" s="642"/>
      <c r="G32" s="611">
        <f ca="1">IF(ISNUMBER(D33),0,IF(ISNUMBER(D32),D32,IF(SUMPRODUCT(AE14:AE19,AK14:AK19)&gt;=_Schwelle_PPBonus,-SUMPRODUCT(AE14:AE19,AK14:AK19)*_Bonus_Pp_pronovo,0)))</f>
        <v>0</v>
      </c>
      <c r="H32" s="611"/>
      <c r="I32" s="611"/>
      <c r="J32" t="s">
        <v>31</v>
      </c>
      <c r="K32" s="614"/>
      <c r="L32" s="614"/>
      <c r="M32" s="611">
        <f ca="1">IF(ISNUMBER(K33),0,IF(ISNUMBER(K32),K32,IF(SUMPRODUCT(AE14:AE19,AR14:AR19)&gt;=_Schwelle_PPBonus,-SUMPRODUCT(AE14:AE19,AR14:AR19)*_Bonus_Pp_pronovo,0)))</f>
        <v>0</v>
      </c>
      <c r="N32" s="611"/>
      <c r="O32" t="s">
        <v>31</v>
      </c>
      <c r="S32" s="54"/>
      <c r="T32" s="54"/>
      <c r="U32" s="195"/>
      <c r="V32" s="54"/>
      <c r="W32" s="54"/>
      <c r="X32" s="54"/>
      <c r="Y32" s="54"/>
      <c r="Z32" s="54"/>
      <c r="AA32" s="54"/>
      <c r="AB32" s="54"/>
      <c r="AC32" s="54"/>
      <c r="AD32" s="54"/>
      <c r="AE32" s="54"/>
      <c r="AF32" s="54"/>
      <c r="AG32" s="54"/>
      <c r="AH32" s="54"/>
      <c r="AI32" s="54"/>
      <c r="AJ32" s="54"/>
      <c r="AK32" s="54"/>
      <c r="AL32" s="54"/>
      <c r="AM32" s="54"/>
      <c r="AN32" s="54"/>
      <c r="AO32" s="54"/>
      <c r="AP32" s="54"/>
      <c r="AQ32" s="59"/>
      <c r="AR32" s="59"/>
    </row>
    <row r="33" spans="1:44" s="16" customFormat="1" ht="19.149999999999999" customHeight="1" thickTop="1" thickBot="1" x14ac:dyDescent="0.3">
      <c r="A33" s="260"/>
      <c r="B33" s="398" t="s">
        <v>217</v>
      </c>
      <c r="C33" s="398"/>
      <c r="D33" s="642"/>
      <c r="E33" s="642"/>
      <c r="F33" s="642"/>
      <c r="G33" s="611">
        <f ca="1">IF(ISNUMBER(D33),D33,G30+G31+G32)</f>
        <v>0</v>
      </c>
      <c r="H33" s="611"/>
      <c r="I33" s="611"/>
      <c r="J33" t="s">
        <v>31</v>
      </c>
      <c r="K33" s="614"/>
      <c r="L33" s="614"/>
      <c r="M33" s="611">
        <f ca="1">IF(ISNUMBER(K33),K33,M30+M31+M32)</f>
        <v>0</v>
      </c>
      <c r="N33" s="611"/>
      <c r="O33" t="s">
        <v>31</v>
      </c>
      <c r="S33" s="54"/>
      <c r="T33" s="54"/>
      <c r="U33" s="195"/>
      <c r="V33" s="54"/>
      <c r="W33" s="54"/>
      <c r="X33" s="54"/>
      <c r="Y33" s="54"/>
      <c r="Z33" s="54"/>
      <c r="AA33" s="54"/>
      <c r="AB33" s="54"/>
      <c r="AC33" s="54"/>
      <c r="AD33" s="54"/>
      <c r="AE33" s="54"/>
      <c r="AF33" s="54"/>
      <c r="AG33" s="54"/>
      <c r="AH33" s="54"/>
      <c r="AI33" s="54"/>
      <c r="AJ33" s="54"/>
      <c r="AK33" s="54"/>
      <c r="AL33" s="54"/>
      <c r="AM33" s="54"/>
      <c r="AN33" s="54"/>
      <c r="AO33" s="54"/>
      <c r="AP33" s="54"/>
      <c r="AQ33" s="59"/>
      <c r="AR33" s="59"/>
    </row>
    <row r="34" spans="1:44" s="156" customFormat="1" ht="17.25" thickTop="1" x14ac:dyDescent="0.25">
      <c r="A34" s="267"/>
      <c r="B34" s="620" t="s">
        <v>385</v>
      </c>
      <c r="C34" s="621"/>
      <c r="D34" s="410"/>
      <c r="E34" s="410"/>
      <c r="F34" s="420"/>
      <c r="G34" s="411"/>
      <c r="H34" s="411"/>
      <c r="I34" s="411"/>
      <c r="J34" s="419"/>
      <c r="K34" s="413"/>
      <c r="L34" s="421"/>
      <c r="M34" s="411"/>
      <c r="N34" s="411"/>
      <c r="O34" s="412"/>
      <c r="S34" s="58"/>
      <c r="T34" s="58"/>
      <c r="U34" s="228"/>
      <c r="V34" s="58"/>
      <c r="W34" s="58"/>
      <c r="X34" s="58"/>
      <c r="Y34" s="58"/>
      <c r="Z34" s="58"/>
      <c r="AA34" s="58"/>
      <c r="AB34" s="58"/>
      <c r="AC34" s="58"/>
      <c r="AD34" s="58"/>
      <c r="AE34" s="58"/>
      <c r="AF34" s="58"/>
      <c r="AG34" s="58"/>
      <c r="AH34" s="58"/>
      <c r="AI34" s="58"/>
      <c r="AJ34" s="58"/>
      <c r="AK34" s="58"/>
      <c r="AL34" s="58"/>
      <c r="AM34" s="58"/>
      <c r="AN34" s="58"/>
      <c r="AO34" s="58"/>
      <c r="AP34" s="58"/>
      <c r="AQ34" s="229"/>
      <c r="AR34" s="229"/>
    </row>
    <row r="35" spans="1:44" s="16" customFormat="1" ht="19.149999999999999" customHeight="1" thickBot="1" x14ac:dyDescent="0.3">
      <c r="A35" s="260"/>
      <c r="B35" t="s">
        <v>218</v>
      </c>
      <c r="C35"/>
      <c r="D35" s="641"/>
      <c r="E35" s="641"/>
      <c r="F35" s="641"/>
      <c r="G35" s="611">
        <f ca="1">IF(ISNUMBER(D39),0,IF(ISNUMBER(D35),D35,_EIV_t.Vb._Rechenwert*_EF_Ansatz/100))</f>
        <v>0</v>
      </c>
      <c r="H35" s="611"/>
      <c r="I35" s="611"/>
      <c r="J35" t="s">
        <v>31</v>
      </c>
      <c r="K35" s="639"/>
      <c r="L35" s="639"/>
      <c r="M35" s="611">
        <f ca="1">IF(ISNUMBER(K39),0,IF(ISNUMBER(K35),K35,_EIV_g.Min._Rechenwert*_EF_Ansatz/100))</f>
        <v>0</v>
      </c>
      <c r="N35" s="611"/>
      <c r="O35" t="s">
        <v>31</v>
      </c>
      <c r="S35" s="54"/>
      <c r="T35" s="54"/>
      <c r="U35" s="195"/>
      <c r="V35" s="54"/>
      <c r="W35" s="54"/>
      <c r="X35" s="54"/>
      <c r="Y35" s="54"/>
      <c r="Z35" s="54"/>
      <c r="AA35" s="54"/>
      <c r="AB35" s="54"/>
      <c r="AC35" s="54"/>
      <c r="AD35" s="54"/>
      <c r="AE35" s="54"/>
      <c r="AF35" s="54"/>
      <c r="AG35" s="54"/>
      <c r="AH35" s="54"/>
      <c r="AI35" s="54"/>
      <c r="AJ35" s="54"/>
      <c r="AK35" s="54"/>
      <c r="AL35" s="54"/>
      <c r="AM35" s="54"/>
      <c r="AN35" s="54"/>
      <c r="AO35" s="54"/>
      <c r="AP35" s="54"/>
      <c r="AQ35" s="59"/>
      <c r="AR35" s="59"/>
    </row>
    <row r="36" spans="1:44" s="16" customFormat="1" ht="19.149999999999999" customHeight="1" thickTop="1" thickBot="1" x14ac:dyDescent="0.3">
      <c r="A36" s="260"/>
      <c r="B36" t="s">
        <v>336</v>
      </c>
      <c r="C36"/>
      <c r="D36" s="642"/>
      <c r="E36" s="642"/>
      <c r="F36" s="642"/>
      <c r="G36" s="611" cm="1">
        <f t="array" aca="1" ref="G36" ca="1">IF(ISNUMBER(D39),0,IF(ISNUMBER(D36),D36,-_Bonus_Steil_Stadt*SUMPRODUCT(AD14:AD19,AN14:AN19+AO14:AO19)))</f>
        <v>0</v>
      </c>
      <c r="H36" s="611"/>
      <c r="I36" s="611"/>
      <c r="J36" t="s">
        <v>31</v>
      </c>
      <c r="K36" s="614"/>
      <c r="L36" s="614"/>
      <c r="M36" s="611" cm="1">
        <f t="array" aca="1" ref="M36" ca="1">IF(ISNUMBER(K39),0,IF(ISNUMBER(K36),K36,-_Bonus_Steil_Stadt*SUMPRODUCT(AD14:AD19,AU14:AU19+AV14:AV19)))</f>
        <v>0</v>
      </c>
      <c r="N36" s="611"/>
      <c r="O36" t="s">
        <v>31</v>
      </c>
      <c r="S36" s="54"/>
      <c r="T36" s="54"/>
      <c r="U36" s="195"/>
      <c r="V36" s="54"/>
      <c r="W36" s="54"/>
      <c r="X36" s="54"/>
      <c r="Y36" s="54"/>
      <c r="Z36" s="54"/>
      <c r="AA36" s="54"/>
      <c r="AB36" s="54"/>
      <c r="AC36" s="54"/>
      <c r="AD36" s="54"/>
      <c r="AE36" s="54"/>
      <c r="AF36" s="54"/>
      <c r="AG36" s="54"/>
      <c r="AH36" s="54"/>
      <c r="AI36" s="54"/>
      <c r="AJ36" s="54"/>
      <c r="AK36" s="54"/>
      <c r="AL36" s="54"/>
      <c r="AM36" s="54"/>
      <c r="AN36" s="54"/>
      <c r="AO36" s="54"/>
      <c r="AP36" s="54"/>
      <c r="AQ36" s="59"/>
      <c r="AR36" s="59"/>
    </row>
    <row r="37" spans="1:44" s="16" customFormat="1" ht="19.149999999999999" customHeight="1" thickTop="1" thickBot="1" x14ac:dyDescent="0.3">
      <c r="A37" s="260"/>
      <c r="B37" t="s">
        <v>337</v>
      </c>
      <c r="C37"/>
      <c r="D37" s="642"/>
      <c r="E37" s="642"/>
      <c r="F37" s="642"/>
      <c r="G37" s="611">
        <f ca="1">IF(ISNUMBER(D39),0,IF(ISNUMBER(D37),D37,-_Bonus_Blendarm_Stadt*(SUMPRODUCT(AB14:AB19,AI14:AI19,X14:X19)+SUMPRODUCT(AB14:AB19,AJ14:AJ19,Y14:Y19))/1000))</f>
        <v>0</v>
      </c>
      <c r="H37" s="611"/>
      <c r="I37" s="611"/>
      <c r="J37" t="s">
        <v>31</v>
      </c>
      <c r="K37" s="614"/>
      <c r="L37" s="614"/>
      <c r="M37" s="611">
        <f ca="1">IF(ISNUMBER(K39),0,IF(ISNUMBER(K37),K37,-_Bonus_Blendarm_Stadt*(SUMPRODUCT(AB14:AB19,AP14:AP19,X14:X19)+SUMPRODUCT(AB14:AB19,AQ14:AQ19,Y14:Y19))/1000))</f>
        <v>0</v>
      </c>
      <c r="N37" s="611"/>
      <c r="O37" t="s">
        <v>31</v>
      </c>
      <c r="S37" s="54"/>
      <c r="T37" s="54"/>
      <c r="U37" s="195"/>
      <c r="V37" s="54"/>
      <c r="W37" s="54"/>
      <c r="X37" s="54"/>
      <c r="Y37" s="54"/>
      <c r="Z37" s="54"/>
      <c r="AA37" s="54"/>
      <c r="AB37" s="54"/>
      <c r="AC37" s="54"/>
      <c r="AD37" s="54"/>
      <c r="AE37" s="54"/>
      <c r="AF37" s="54"/>
      <c r="AG37" s="54"/>
      <c r="AH37" s="54"/>
      <c r="AI37" s="54"/>
      <c r="AJ37" s="54"/>
      <c r="AK37" s="54"/>
      <c r="AL37" s="54"/>
      <c r="AM37" s="54"/>
      <c r="AN37" s="54"/>
      <c r="AO37" s="54"/>
      <c r="AP37" s="54"/>
      <c r="AQ37" s="59"/>
      <c r="AR37" s="59"/>
    </row>
    <row r="38" spans="1:44" s="16" customFormat="1" ht="19.149999999999999" customHeight="1" thickTop="1" thickBot="1" x14ac:dyDescent="0.3">
      <c r="A38" s="260"/>
      <c r="B38" t="s">
        <v>338</v>
      </c>
      <c r="C38"/>
      <c r="D38" s="642"/>
      <c r="E38" s="642"/>
      <c r="F38" s="642"/>
      <c r="G38" s="611">
        <f ca="1">IF(ISNUMBER(D41),0,IF(ISNUMBER(D38),D38,-_Bonus_Gründach_Stadt*SUMPRODUCT(AF14:AF19,AK14:AK19)))</f>
        <v>0</v>
      </c>
      <c r="H38" s="611"/>
      <c r="I38" s="611"/>
      <c r="J38" t="s">
        <v>31</v>
      </c>
      <c r="K38" s="614"/>
      <c r="L38" s="614"/>
      <c r="M38" s="611">
        <f ca="1">IF(ISNUMBER(K41),0,IF(ISNUMBER(K38),K38,-_Bonus_Gründach_Stadt*SUMPRODUCT(AF14:AF19,AR14:AR19)))</f>
        <v>0</v>
      </c>
      <c r="N38" s="611"/>
      <c r="O38" t="s">
        <v>31</v>
      </c>
      <c r="S38" s="54"/>
      <c r="T38" s="54"/>
      <c r="U38" s="195"/>
      <c r="V38" s="54"/>
      <c r="W38" s="54"/>
      <c r="X38" s="54"/>
      <c r="Y38" s="54"/>
      <c r="Z38" s="54"/>
      <c r="AA38" s="54"/>
      <c r="AB38" s="54"/>
      <c r="AC38" s="54"/>
      <c r="AD38" s="54"/>
      <c r="AE38" s="54"/>
      <c r="AF38" s="54"/>
      <c r="AG38" s="54"/>
      <c r="AH38" s="54"/>
      <c r="AI38" s="54"/>
      <c r="AJ38" s="54"/>
      <c r="AK38" s="54"/>
      <c r="AL38" s="54"/>
      <c r="AM38" s="54"/>
      <c r="AN38" s="54"/>
      <c r="AO38" s="54"/>
      <c r="AP38" s="54"/>
      <c r="AQ38" s="59"/>
      <c r="AR38" s="59"/>
    </row>
    <row r="39" spans="1:44" s="16" customFormat="1" ht="19.149999999999999" customHeight="1" thickTop="1" x14ac:dyDescent="0.25">
      <c r="A39" s="260"/>
      <c r="B39" s="398" t="s">
        <v>220</v>
      </c>
      <c r="C39" s="398"/>
      <c r="D39" s="612"/>
      <c r="E39" s="612"/>
      <c r="F39" s="612"/>
      <c r="G39" s="611">
        <f ca="1">IF(ISNUMBER(D39),D39,SUM(G35:J38))</f>
        <v>0</v>
      </c>
      <c r="H39" s="611"/>
      <c r="I39" s="611"/>
      <c r="J39" t="s">
        <v>31</v>
      </c>
      <c r="K39" s="654"/>
      <c r="L39" s="654"/>
      <c r="M39" s="611">
        <f ca="1">IF(ISNUMBER(K39),K39,SUM(M35:M38))</f>
        <v>0</v>
      </c>
      <c r="N39" s="611"/>
      <c r="O39" t="s">
        <v>31</v>
      </c>
      <c r="S39" s="54"/>
      <c r="T39" s="54"/>
      <c r="U39" s="55"/>
      <c r="V39" s="54"/>
      <c r="W39" s="54"/>
      <c r="X39" s="54"/>
      <c r="Y39" s="54"/>
      <c r="Z39" s="54"/>
      <c r="AA39" s="54"/>
      <c r="AB39" s="54"/>
      <c r="AC39" s="54"/>
      <c r="AD39" s="54"/>
      <c r="AE39" s="54"/>
      <c r="AF39" s="54"/>
      <c r="AG39" s="54"/>
      <c r="AH39" s="54"/>
      <c r="AI39" s="54"/>
      <c r="AJ39" s="54"/>
      <c r="AK39" s="54"/>
      <c r="AL39" s="54"/>
      <c r="AM39" s="54"/>
      <c r="AN39" s="54"/>
      <c r="AO39" s="54"/>
      <c r="AP39" s="54"/>
      <c r="AQ39" s="59"/>
      <c r="AR39" s="59"/>
    </row>
    <row r="40" spans="1:44" s="156" customFormat="1" ht="17.25" customHeight="1" x14ac:dyDescent="0.25">
      <c r="A40" s="267"/>
      <c r="B40" s="620" t="s">
        <v>385</v>
      </c>
      <c r="C40" s="621"/>
      <c r="D40" s="410"/>
      <c r="E40" s="410"/>
      <c r="F40" s="420"/>
      <c r="G40" s="411"/>
      <c r="H40" s="411"/>
      <c r="I40" s="411"/>
      <c r="J40" s="419"/>
      <c r="K40" s="413"/>
      <c r="L40" s="421"/>
      <c r="M40" s="411"/>
      <c r="N40" s="411"/>
      <c r="O40" s="412"/>
      <c r="S40" s="58"/>
      <c r="T40" s="58"/>
      <c r="U40" s="228"/>
      <c r="V40" s="58"/>
      <c r="W40" s="58"/>
      <c r="X40" s="58"/>
      <c r="Y40" s="58"/>
      <c r="Z40" s="58"/>
      <c r="AA40" s="58"/>
      <c r="AB40" s="58"/>
      <c r="AC40" s="58"/>
      <c r="AD40" s="58"/>
      <c r="AE40" s="58"/>
      <c r="AF40" s="58"/>
      <c r="AG40" s="58"/>
      <c r="AH40" s="58"/>
      <c r="AI40" s="58"/>
      <c r="AJ40" s="58"/>
      <c r="AK40" s="58"/>
      <c r="AL40" s="58"/>
      <c r="AM40" s="58"/>
      <c r="AN40" s="58"/>
      <c r="AO40" s="58"/>
      <c r="AP40" s="58"/>
      <c r="AQ40" s="229"/>
      <c r="AR40" s="229"/>
    </row>
    <row r="41" spans="1:44" s="16" customFormat="1" ht="19.149999999999999" customHeight="1" x14ac:dyDescent="0.25">
      <c r="A41" s="260"/>
      <c r="B41" s="398" t="s">
        <v>29</v>
      </c>
      <c r="C41" s="398"/>
      <c r="D41" s="613"/>
      <c r="E41" s="613"/>
      <c r="F41" s="613"/>
      <c r="G41" s="611">
        <f ca="1">_Gesamtkosten_t.Vb.+_EIV_t.Vb._Rechenwert+_EF_t.Vb._Rechenwert</f>
        <v>0</v>
      </c>
      <c r="H41" s="611"/>
      <c r="I41" s="611"/>
      <c r="J41" t="s">
        <v>31</v>
      </c>
      <c r="K41" s="610"/>
      <c r="L41" s="610"/>
      <c r="M41" s="611">
        <f ca="1">_Gesamtkosten_g.Min.+_EIV_g.Min._Rechenwert+_EF_g.Min._Rechenwert</f>
        <v>0</v>
      </c>
      <c r="N41" s="611"/>
      <c r="O41" t="s">
        <v>31</v>
      </c>
      <c r="R41" s="38"/>
      <c r="S41" s="60"/>
      <c r="T41" s="60"/>
      <c r="U41" s="196"/>
      <c r="V41" s="60"/>
      <c r="W41" s="60"/>
      <c r="X41" s="60"/>
      <c r="Y41" s="60"/>
      <c r="Z41" s="60"/>
      <c r="AA41" s="60"/>
      <c r="AB41" s="60"/>
      <c r="AC41" s="60"/>
      <c r="AD41" s="60"/>
      <c r="AE41" s="60"/>
      <c r="AF41" s="60"/>
      <c r="AG41" s="60"/>
      <c r="AH41" s="60"/>
      <c r="AI41" s="60"/>
      <c r="AJ41" s="60"/>
      <c r="AK41" s="60"/>
      <c r="AL41" s="60"/>
      <c r="AM41" s="60"/>
      <c r="AN41" s="60"/>
      <c r="AO41" s="60"/>
      <c r="AP41" s="60"/>
      <c r="AQ41" s="61"/>
      <c r="AR41" s="61"/>
    </row>
    <row r="42" spans="1:44" ht="12.75" customHeight="1" x14ac:dyDescent="0.2">
      <c r="E42" s="36"/>
      <c r="F42" s="36"/>
      <c r="G42" s="36"/>
    </row>
    <row r="43" spans="1:44" s="12" customFormat="1" ht="21" thickBot="1" x14ac:dyDescent="0.35">
      <c r="A43" s="259"/>
      <c r="B43" s="671" t="s">
        <v>98</v>
      </c>
      <c r="C43" s="671"/>
      <c r="D43" s="671"/>
      <c r="E43" s="671"/>
      <c r="F43" s="671"/>
      <c r="G43" s="671"/>
      <c r="H43" s="671"/>
      <c r="I43" s="671"/>
      <c r="J43" s="671"/>
      <c r="K43" s="671"/>
      <c r="L43" s="671"/>
      <c r="M43" s="671"/>
      <c r="N43" s="671"/>
      <c r="O43" s="671"/>
      <c r="S43" s="53"/>
      <c r="T43" s="53"/>
      <c r="U43" s="192"/>
      <c r="V43" s="53"/>
      <c r="W43" s="53"/>
      <c r="X43" s="53"/>
      <c r="Y43" s="53"/>
      <c r="Z43" s="53"/>
      <c r="AA43" s="53"/>
      <c r="AB43" s="53"/>
      <c r="AC43" s="53"/>
      <c r="AD43" s="53"/>
      <c r="AE43" s="53"/>
      <c r="AF43" s="53"/>
      <c r="AG43" s="53"/>
      <c r="AH43" s="53"/>
      <c r="AI43" s="53"/>
      <c r="AJ43" s="53"/>
      <c r="AK43" s="53"/>
      <c r="AL43" s="53"/>
      <c r="AM43" s="53"/>
      <c r="AN43" s="53"/>
      <c r="AO43" s="53"/>
      <c r="AP43" s="53"/>
      <c r="AQ43" s="53"/>
      <c r="AR43" s="53"/>
    </row>
    <row r="44" spans="1:44" s="16" customFormat="1" ht="19.149999999999999" customHeight="1" thickTop="1" thickBot="1" x14ac:dyDescent="0.3">
      <c r="A44" s="260"/>
      <c r="B44" s="430" t="str">
        <f>Basisdaten!B71</f>
        <v>Eigennutzungsgrad</v>
      </c>
      <c r="C44" s="401"/>
      <c r="D44" s="616"/>
      <c r="E44" s="616"/>
      <c r="F44" s="616"/>
      <c r="G44" s="617">
        <f>IF(ISNUMBER(D44),D44,
IF(AND(ISTEXT(_Lastprofil_Typ),ISNUMBER(_Verbrauch)),HLOOKUP(_Lastprofil_Typ,'Faktor Eigenverbrauch'!A1:F32,MIN(ROUND(_Ertrag_t.Vb./_Verbrauch,1)*10,30)+2,FALSE),VLOOKUP(B44,Basisdaten!B:E,3,FALSE)))</f>
        <v>30</v>
      </c>
      <c r="H44" s="617"/>
      <c r="I44" s="617"/>
      <c r="J44" s="402" t="s">
        <v>5</v>
      </c>
      <c r="K44" s="616"/>
      <c r="L44" s="616"/>
      <c r="M44" s="617">
        <f>IF(ISNUMBER(K44),K44,
IF(AND(ISTEXT(_Lastprofil_Typ),ISNUMBER(_Verbrauch)),HLOOKUP(_Lastprofil_Typ,'Faktor Eigenverbrauch'!A1:F32,MIN(ROUND(_Ertrag_g.Min./_Verbrauch,1)*10,30)+2,FALSE),VLOOKUP(B44,Basisdaten!B:E,3,FALSE)))</f>
        <v>30</v>
      </c>
      <c r="N44" s="617"/>
      <c r="O44" s="402" t="s">
        <v>5</v>
      </c>
      <c r="S44" s="54">
        <f>(ISNUMBER(D44))*1</f>
        <v>0</v>
      </c>
      <c r="T44" s="227"/>
      <c r="U44" s="195"/>
      <c r="V44" s="54"/>
      <c r="W44" s="54"/>
      <c r="X44" s="54"/>
      <c r="Y44" s="54"/>
      <c r="Z44" s="54"/>
      <c r="AA44" s="54"/>
      <c r="AB44" s="54"/>
      <c r="AC44" s="54"/>
      <c r="AD44" s="54"/>
      <c r="AE44" s="54"/>
      <c r="AF44" s="54"/>
      <c r="AG44" s="54"/>
      <c r="AH44" s="54"/>
      <c r="AI44" s="54"/>
      <c r="AJ44" s="54"/>
      <c r="AK44" s="54"/>
      <c r="AL44" s="54"/>
      <c r="AM44" s="54"/>
      <c r="AN44" s="54"/>
      <c r="AO44" s="54"/>
      <c r="AP44" s="54"/>
      <c r="AQ44" s="54"/>
      <c r="AR44" s="54"/>
    </row>
    <row r="45" spans="1:44" s="16" customFormat="1" ht="19.149999999999999" customHeight="1" thickTop="1" x14ac:dyDescent="0.3">
      <c r="A45" s="260"/>
      <c r="B45" s="431" t="str">
        <f>Basisdaten!B72</f>
        <v>Unterhaltskosten</v>
      </c>
      <c r="C45" s="296"/>
      <c r="D45" s="618"/>
      <c r="E45" s="618"/>
      <c r="F45" s="618"/>
      <c r="G45" s="619">
        <f>IF(ISNUMBER(D45),D45,VLOOKUP(B45,Basisdaten!B:E,3,FALSE))</f>
        <v>3</v>
      </c>
      <c r="H45" s="619"/>
      <c r="I45" s="619"/>
      <c r="J45" s="303" t="s">
        <v>539</v>
      </c>
      <c r="K45" s="618"/>
      <c r="L45" s="618"/>
      <c r="M45" s="619">
        <f>IF(ISNUMBER(K45),K45,VLOOKUP(B45,Basisdaten!B:E,3,FALSE))</f>
        <v>3</v>
      </c>
      <c r="N45" s="619"/>
      <c r="O45" s="303" t="s">
        <v>539</v>
      </c>
      <c r="S45" s="54"/>
      <c r="T45" s="54"/>
      <c r="U45" s="195"/>
      <c r="V45" s="54"/>
      <c r="W45" s="54"/>
      <c r="X45" s="54"/>
      <c r="Y45" s="54"/>
      <c r="Z45" s="54"/>
      <c r="AA45" s="54"/>
      <c r="AB45" s="54"/>
      <c r="AC45" s="54"/>
      <c r="AD45" s="54"/>
      <c r="AE45" s="54"/>
      <c r="AF45" s="54"/>
      <c r="AG45" s="54"/>
      <c r="AH45" s="54"/>
      <c r="AI45" s="54"/>
      <c r="AJ45" s="54"/>
      <c r="AK45" s="54"/>
      <c r="AL45" s="54"/>
      <c r="AM45" s="54"/>
      <c r="AN45" s="54"/>
      <c r="AO45" s="54"/>
      <c r="AP45" s="54"/>
      <c r="AQ45" s="54"/>
      <c r="AR45" s="54"/>
    </row>
    <row r="46" spans="1:44" s="16" customFormat="1" ht="19.149999999999999" customHeight="1" x14ac:dyDescent="0.25">
      <c r="A46" s="260"/>
      <c r="B46" s="372" t="s">
        <v>33</v>
      </c>
      <c r="C46" s="422"/>
      <c r="D46" s="404"/>
      <c r="E46" s="404"/>
      <c r="F46" s="423"/>
      <c r="G46" s="405"/>
      <c r="H46" s="404"/>
      <c r="I46" s="406">
        <f>_Kap_Verzinsung</f>
        <v>1.25</v>
      </c>
      <c r="J46" s="424" t="s">
        <v>5</v>
      </c>
      <c r="K46" s="407"/>
      <c r="L46" s="425"/>
      <c r="M46" s="407"/>
      <c r="N46" s="406">
        <f>_Kap_Verzinsung</f>
        <v>1.25</v>
      </c>
      <c r="O46" s="407" t="s">
        <v>5</v>
      </c>
      <c r="S46" s="54"/>
      <c r="T46" s="54"/>
      <c r="U46" s="195"/>
      <c r="V46" s="54"/>
      <c r="W46" s="54"/>
      <c r="X46" s="54"/>
      <c r="Y46" s="54"/>
      <c r="Z46" s="54"/>
      <c r="AA46" s="54"/>
      <c r="AB46" s="54"/>
      <c r="AC46" s="54"/>
      <c r="AD46" s="54"/>
      <c r="AE46" s="54"/>
      <c r="AF46" s="54"/>
      <c r="AG46" s="54"/>
      <c r="AH46" s="54"/>
      <c r="AI46" s="54"/>
      <c r="AJ46" s="54"/>
      <c r="AK46" s="54"/>
      <c r="AL46" s="54"/>
      <c r="AM46" s="54"/>
      <c r="AN46" s="54"/>
      <c r="AO46" s="54"/>
      <c r="AP46" s="54"/>
      <c r="AQ46" s="54"/>
      <c r="AR46" s="54"/>
    </row>
    <row r="47" spans="1:44" s="16" customFormat="1" ht="19.149999999999999" customHeight="1" x14ac:dyDescent="0.3">
      <c r="A47" s="408"/>
      <c r="B47" t="str">
        <f>"Bezugstarif ("&amp;'4 Datengrundlage'!H36&amp;")"&amp;IF(_MWSt_pflichtig," exkl. MWSt."," inkl. MWSt.")</f>
        <v>Bezugstarif () inkl. MWSt.</v>
      </c>
      <c r="C47"/>
      <c r="D47" s="403"/>
      <c r="E47" s="403"/>
      <c r="F47" s="403"/>
      <c r="G47"/>
      <c r="H47" s="403"/>
      <c r="I47" s="403">
        <f>_Tarif_Bezug</f>
        <v>0</v>
      </c>
      <c r="J47" t="s">
        <v>539</v>
      </c>
      <c r="K47"/>
      <c r="L47" s="403"/>
      <c r="M47"/>
      <c r="N47" s="403">
        <f>_Tarif_Bezug</f>
        <v>0</v>
      </c>
      <c r="O47" t="s">
        <v>539</v>
      </c>
      <c r="S47" s="54"/>
      <c r="T47" s="54"/>
      <c r="U47" s="195"/>
      <c r="V47" s="54"/>
      <c r="W47" s="54"/>
      <c r="X47" s="54"/>
      <c r="Y47" s="54"/>
      <c r="Z47" s="54"/>
      <c r="AA47" s="54"/>
      <c r="AB47" s="54"/>
      <c r="AC47" s="54"/>
      <c r="AD47" s="54"/>
      <c r="AE47" s="54"/>
      <c r="AF47" s="54"/>
      <c r="AG47" s="54"/>
      <c r="AH47" s="54"/>
      <c r="AI47" s="54"/>
      <c r="AJ47" s="54"/>
      <c r="AK47" s="54"/>
      <c r="AL47" s="54"/>
      <c r="AM47" s="54"/>
      <c r="AN47" s="54"/>
      <c r="AO47" s="54"/>
      <c r="AP47" s="54"/>
      <c r="AQ47" s="54"/>
      <c r="AR47" s="54"/>
    </row>
    <row r="48" spans="1:44" s="16" customFormat="1" ht="19.149999999999999" customHeight="1" x14ac:dyDescent="0.3">
      <c r="B48" t="str">
        <f>"Rückliefertarif ("&amp;'4 Datengrundlage'!H31&amp;")"&amp;" inkl. MWSt."</f>
        <v>Rückliefertarif () inkl. MWSt.</v>
      </c>
      <c r="C48"/>
      <c r="D48" s="403"/>
      <c r="E48" s="403"/>
      <c r="F48" s="403"/>
      <c r="G48"/>
      <c r="H48" s="403"/>
      <c r="I48" s="403">
        <f ca="1">_Tarif_Rücklieferung</f>
        <v>0</v>
      </c>
      <c r="J48" t="s">
        <v>539</v>
      </c>
      <c r="K48"/>
      <c r="L48" s="403"/>
      <c r="M48"/>
      <c r="N48" s="403">
        <f ca="1">_Tarif_Rücklieferung</f>
        <v>0</v>
      </c>
      <c r="O48" t="s">
        <v>539</v>
      </c>
      <c r="S48" s="54"/>
      <c r="T48" s="54"/>
      <c r="U48" s="195"/>
      <c r="V48" s="54"/>
      <c r="W48" s="54"/>
      <c r="X48" s="54"/>
      <c r="Y48" s="54"/>
      <c r="Z48" s="54"/>
      <c r="AA48" s="54"/>
      <c r="AB48" s="54"/>
      <c r="AC48" s="54"/>
      <c r="AD48" s="54"/>
      <c r="AE48" s="54"/>
      <c r="AF48" s="54"/>
      <c r="AG48" s="54"/>
      <c r="AH48" s="54"/>
      <c r="AI48" s="54"/>
      <c r="AJ48" s="54"/>
      <c r="AK48" s="54"/>
      <c r="AL48" s="54"/>
      <c r="AM48" s="54"/>
      <c r="AN48" s="54"/>
      <c r="AO48" s="54"/>
      <c r="AP48" s="54"/>
      <c r="AQ48" s="54"/>
      <c r="AR48" s="54"/>
    </row>
    <row r="49" spans="1:44" ht="12.75" customHeight="1" x14ac:dyDescent="0.2">
      <c r="A49" s="409"/>
    </row>
    <row r="50" spans="1:44" s="12" customFormat="1" ht="20.25" x14ac:dyDescent="0.3">
      <c r="A50" s="259"/>
      <c r="B50" s="672" t="s">
        <v>17</v>
      </c>
      <c r="C50" s="672"/>
      <c r="D50" s="672"/>
      <c r="E50" s="672"/>
      <c r="F50" s="672"/>
      <c r="G50" s="672"/>
      <c r="H50" s="672"/>
      <c r="I50" s="672"/>
      <c r="J50" s="672"/>
      <c r="K50" s="672"/>
      <c r="L50" s="672"/>
      <c r="M50" s="672"/>
      <c r="N50" s="672"/>
      <c r="O50" s="672"/>
      <c r="S50" s="53"/>
      <c r="T50" s="53"/>
      <c r="U50" s="192"/>
      <c r="V50" s="53"/>
      <c r="W50" s="53"/>
      <c r="X50" s="53"/>
      <c r="Y50" s="53"/>
      <c r="Z50" s="53"/>
      <c r="AA50" s="53"/>
      <c r="AB50" s="53"/>
      <c r="AC50" s="53"/>
      <c r="AD50" s="53"/>
      <c r="AE50" s="53"/>
      <c r="AF50" s="53"/>
      <c r="AG50" s="53"/>
      <c r="AH50" s="53"/>
      <c r="AI50" s="53"/>
      <c r="AJ50" s="53"/>
      <c r="AK50" s="53"/>
      <c r="AL50" s="53"/>
      <c r="AM50" s="53"/>
      <c r="AN50" s="53"/>
      <c r="AO50" s="53"/>
      <c r="AP50" s="53"/>
      <c r="AQ50" s="53"/>
      <c r="AR50" s="53"/>
    </row>
    <row r="51" spans="1:44" s="16" customFormat="1" ht="19.149999999999999" customHeight="1" x14ac:dyDescent="0.25">
      <c r="A51" s="260"/>
      <c r="B51" s="398" t="s">
        <v>99</v>
      </c>
      <c r="C51" s="398"/>
      <c r="D51" s="636" t="s">
        <v>383</v>
      </c>
      <c r="E51" s="636"/>
      <c r="F51" s="636"/>
      <c r="G51" s="636"/>
      <c r="H51" s="636"/>
      <c r="I51" s="636"/>
      <c r="J51" s="636"/>
      <c r="K51" s="636" t="s">
        <v>384</v>
      </c>
      <c r="L51" s="636"/>
      <c r="M51" s="636"/>
      <c r="N51" s="636"/>
      <c r="O51" s="636"/>
      <c r="S51" s="54"/>
      <c r="T51" s="54"/>
      <c r="U51" s="195"/>
      <c r="V51" s="54"/>
      <c r="W51" s="54"/>
      <c r="X51" s="54"/>
      <c r="Y51" s="54"/>
      <c r="Z51" s="54"/>
      <c r="AA51" s="54"/>
      <c r="AB51" s="54"/>
      <c r="AC51" s="54"/>
      <c r="AD51" s="54"/>
      <c r="AE51" s="54"/>
      <c r="AF51" s="54"/>
      <c r="AG51" s="54"/>
      <c r="AH51" s="54"/>
      <c r="AI51" s="54"/>
      <c r="AJ51" s="54"/>
      <c r="AK51" s="54"/>
      <c r="AL51" s="54"/>
      <c r="AM51" s="54"/>
      <c r="AN51" s="54"/>
      <c r="AO51" s="54"/>
      <c r="AP51" s="54"/>
      <c r="AQ51" s="58"/>
      <c r="AR51" s="58"/>
    </row>
    <row r="52" spans="1:44" s="16" customFormat="1" ht="151.15" customHeight="1" x14ac:dyDescent="0.25">
      <c r="A52" s="260"/>
      <c r="B52" s="399"/>
      <c r="C52" s="399"/>
      <c r="D52" s="624"/>
      <c r="E52" s="624"/>
      <c r="F52" s="624"/>
      <c r="G52" s="624"/>
      <c r="H52" s="624"/>
      <c r="I52" s="624"/>
      <c r="J52" s="624"/>
      <c r="K52" s="400"/>
      <c r="L52" s="400"/>
      <c r="M52" s="400"/>
      <c r="N52" s="400"/>
      <c r="O52" s="400"/>
      <c r="R52" s="586"/>
      <c r="S52" s="54"/>
      <c r="T52" s="54"/>
      <c r="U52" s="195"/>
      <c r="V52" s="54"/>
      <c r="W52" s="54"/>
      <c r="X52" s="54"/>
      <c r="Y52" s="54"/>
      <c r="Z52" s="54"/>
      <c r="AA52" s="54"/>
      <c r="AB52" s="54"/>
      <c r="AC52" s="54"/>
      <c r="AD52" s="54"/>
      <c r="AE52" s="54"/>
      <c r="AF52" s="54"/>
      <c r="AG52" s="54"/>
      <c r="AH52" s="54"/>
      <c r="AI52" s="54"/>
      <c r="AJ52" s="54"/>
      <c r="AK52" s="54"/>
      <c r="AL52" s="54"/>
      <c r="AM52" s="54"/>
      <c r="AN52" s="54"/>
      <c r="AO52" s="54"/>
      <c r="AP52" s="54"/>
      <c r="AQ52" s="58"/>
      <c r="AR52" s="58"/>
    </row>
    <row r="53" spans="1:44" s="16" customFormat="1" ht="19.149999999999999" customHeight="1" x14ac:dyDescent="0.25">
      <c r="A53" s="260"/>
      <c r="B53" s="374"/>
      <c r="C53" s="374"/>
      <c r="D53" s="622" t="str">
        <f ca="1">IFERROR(IF(_Amortisationszeit_t.Vb.&gt;0,_Amortisationszeit_t.Vb.&amp;" Jahre","Keine Amortisation innert "&amp;_Lebensdauer&amp;" Jahren"),"")</f>
        <v>Keine Amortisation innert 30 Jahren</v>
      </c>
      <c r="E53" s="622"/>
      <c r="F53" s="622"/>
      <c r="G53" s="622"/>
      <c r="H53" s="622"/>
      <c r="I53" s="622"/>
      <c r="J53" s="623"/>
      <c r="K53" s="615" t="str">
        <f ca="1">IFERROR(IF(_Amortisationszeit_g.Min.&gt;0,_Amortisationszeit_g.Min.&amp;" Jahre","Keine Amortisation innert "&amp;_Lebensdauer&amp;" Jahren"),"")</f>
        <v>Keine Amortisation innert 30 Jahren</v>
      </c>
      <c r="L53" s="615"/>
      <c r="M53" s="615"/>
      <c r="N53" s="615"/>
      <c r="O53" s="615"/>
      <c r="R53" s="590"/>
      <c r="S53" s="62"/>
      <c r="T53" s="62"/>
      <c r="U53" s="197"/>
      <c r="V53" s="62"/>
      <c r="W53" s="62"/>
      <c r="X53" s="62"/>
      <c r="Y53" s="62"/>
      <c r="Z53" s="62"/>
      <c r="AA53" s="62"/>
      <c r="AB53" s="62"/>
      <c r="AC53" s="62"/>
      <c r="AD53" s="62"/>
      <c r="AE53" s="62"/>
      <c r="AF53" s="62"/>
      <c r="AG53" s="62"/>
      <c r="AH53" s="62"/>
      <c r="AI53" s="62"/>
      <c r="AJ53" s="62"/>
      <c r="AK53" s="63"/>
      <c r="AL53" s="62"/>
      <c r="AM53" s="62"/>
      <c r="AN53" s="62"/>
      <c r="AO53" s="62"/>
      <c r="AP53" s="62"/>
      <c r="AQ53" s="62"/>
      <c r="AR53" s="62"/>
    </row>
    <row r="54" spans="1:44" ht="12.75" customHeight="1" x14ac:dyDescent="0.2"/>
    <row r="55" spans="1:44" s="12" customFormat="1" ht="21" thickBot="1" x14ac:dyDescent="0.35">
      <c r="A55" s="259"/>
      <c r="B55" s="671" t="s">
        <v>194</v>
      </c>
      <c r="C55" s="671"/>
      <c r="D55" s="671"/>
      <c r="E55" s="671"/>
      <c r="F55" s="671"/>
      <c r="G55" s="671"/>
      <c r="H55" s="671"/>
      <c r="I55" s="671"/>
      <c r="J55" s="671"/>
      <c r="K55" s="671"/>
      <c r="L55" s="671"/>
      <c r="M55" s="671"/>
      <c r="N55" s="671"/>
      <c r="O55" s="671"/>
      <c r="S55" s="53"/>
      <c r="T55" s="53"/>
      <c r="U55" s="192"/>
      <c r="V55" s="53"/>
      <c r="W55" s="53"/>
      <c r="X55" s="53"/>
      <c r="Y55" s="53"/>
      <c r="Z55" s="53"/>
      <c r="AA55" s="53"/>
      <c r="AB55" s="53"/>
      <c r="AC55" s="53"/>
      <c r="AD55" s="53"/>
      <c r="AE55" s="53"/>
      <c r="AF55" s="53"/>
      <c r="AG55" s="53"/>
      <c r="AH55" s="53"/>
      <c r="AI55" s="53"/>
      <c r="AJ55" s="53"/>
      <c r="AK55" s="53"/>
      <c r="AL55" s="53"/>
      <c r="AM55" s="53"/>
      <c r="AN55" s="53"/>
      <c r="AO55" s="53"/>
      <c r="AP55" s="53"/>
      <c r="AQ55" s="53"/>
      <c r="AR55" s="53"/>
    </row>
    <row r="56" spans="1:44" s="16" customFormat="1" ht="19.149999999999999" customHeight="1" thickTop="1" x14ac:dyDescent="0.25">
      <c r="A56" s="260"/>
      <c r="B56" s="292">
        <v>1</v>
      </c>
      <c r="C56" s="609" t="s">
        <v>403</v>
      </c>
      <c r="D56" s="609"/>
      <c r="E56" s="609"/>
      <c r="F56" s="609"/>
      <c r="G56" s="609"/>
      <c r="H56" s="609"/>
      <c r="I56" s="609"/>
      <c r="J56" s="609"/>
      <c r="K56" s="609"/>
      <c r="L56" s="609"/>
      <c r="M56" s="609"/>
      <c r="N56" s="609"/>
      <c r="O56" s="609"/>
      <c r="S56" s="54"/>
      <c r="T56" s="54"/>
      <c r="U56" s="195"/>
      <c r="V56" s="54"/>
      <c r="W56" s="54"/>
      <c r="X56" s="54"/>
      <c r="Y56" s="54"/>
      <c r="Z56" s="54"/>
      <c r="AA56" s="54"/>
      <c r="AB56" s="54"/>
      <c r="AC56" s="54"/>
      <c r="AD56" s="54"/>
      <c r="AE56" s="54"/>
      <c r="AF56" s="54"/>
      <c r="AG56" s="54"/>
      <c r="AH56" s="54"/>
      <c r="AI56" s="54"/>
      <c r="AJ56" s="54"/>
      <c r="AK56" s="64"/>
      <c r="AL56" s="54"/>
      <c r="AM56" s="54"/>
      <c r="AN56" s="54"/>
      <c r="AO56" s="54"/>
      <c r="AP56" s="54"/>
      <c r="AQ56" s="54"/>
      <c r="AR56" s="54"/>
    </row>
    <row r="57" spans="1:44" s="16" customFormat="1" ht="19.149999999999999" customHeight="1" x14ac:dyDescent="0.25">
      <c r="A57" s="260"/>
      <c r="B57" s="292">
        <f ca="1">AW20</f>
        <v>0</v>
      </c>
      <c r="C57" s="609" t="s">
        <v>339</v>
      </c>
      <c r="D57" s="609"/>
      <c r="E57" s="609"/>
      <c r="F57" s="609"/>
      <c r="G57" s="609"/>
      <c r="H57" s="609"/>
      <c r="I57" s="609"/>
      <c r="J57" s="609"/>
      <c r="K57" s="609"/>
      <c r="L57" s="609"/>
      <c r="M57" s="609"/>
      <c r="N57" s="609"/>
      <c r="O57" s="609"/>
      <c r="S57" s="54"/>
      <c r="T57" s="54"/>
      <c r="U57" s="195"/>
      <c r="V57" s="54"/>
      <c r="W57" s="54"/>
      <c r="X57" s="54"/>
      <c r="Y57" s="54"/>
      <c r="Z57" s="54"/>
      <c r="AA57" s="54"/>
      <c r="AB57" s="54"/>
      <c r="AC57" s="54"/>
      <c r="AD57" s="54"/>
      <c r="AE57" s="54"/>
      <c r="AF57" s="54"/>
      <c r="AG57" s="54"/>
      <c r="AH57" s="54"/>
      <c r="AI57" s="54"/>
      <c r="AJ57" s="54"/>
      <c r="AK57" s="64"/>
      <c r="AL57" s="54"/>
      <c r="AM57" s="54"/>
      <c r="AN57" s="54"/>
      <c r="AO57" s="54"/>
      <c r="AP57" s="54"/>
      <c r="AQ57" s="54"/>
      <c r="AR57" s="54"/>
    </row>
    <row r="58" spans="1:44" s="16" customFormat="1" ht="19.149999999999999" customHeight="1" x14ac:dyDescent="0.25">
      <c r="A58" s="260"/>
      <c r="B58" s="581">
        <f ca="1">AX20</f>
        <v>0</v>
      </c>
      <c r="C58" s="609" t="s">
        <v>214</v>
      </c>
      <c r="D58" s="609"/>
      <c r="E58" s="609"/>
      <c r="F58" s="609"/>
      <c r="G58" s="609"/>
      <c r="H58" s="609"/>
      <c r="I58" s="609"/>
      <c r="J58" s="609"/>
      <c r="K58" s="609"/>
      <c r="L58" s="609"/>
      <c r="M58" s="609"/>
      <c r="N58" s="609"/>
      <c r="O58" s="609"/>
      <c r="S58" s="54"/>
      <c r="T58" s="54"/>
      <c r="U58" s="195"/>
      <c r="V58" s="54"/>
      <c r="W58" s="54"/>
      <c r="X58" s="54"/>
      <c r="Y58" s="54"/>
      <c r="Z58" s="54"/>
      <c r="AA58" s="54"/>
      <c r="AB58" s="54"/>
      <c r="AC58" s="54"/>
      <c r="AD58" s="54"/>
      <c r="AE58" s="54"/>
      <c r="AF58" s="54"/>
      <c r="AG58" s="54"/>
      <c r="AH58" s="54"/>
      <c r="AI58" s="54"/>
      <c r="AJ58" s="54"/>
      <c r="AK58" s="64"/>
      <c r="AL58" s="54"/>
      <c r="AM58" s="54"/>
      <c r="AN58" s="54"/>
      <c r="AO58" s="54"/>
      <c r="AP58" s="54"/>
      <c r="AQ58" s="54"/>
      <c r="AR58" s="54"/>
    </row>
    <row r="59" spans="1:44" s="16" customFormat="1" ht="19.149999999999999" customHeight="1" x14ac:dyDescent="0.25">
      <c r="A59" s="260"/>
      <c r="B59" s="292">
        <f>IF(SUM(D25:F27)&gt;0,1,0)</f>
        <v>0</v>
      </c>
      <c r="C59" s="609" t="s">
        <v>366</v>
      </c>
      <c r="D59" s="609"/>
      <c r="E59" s="609"/>
      <c r="F59" s="609"/>
      <c r="G59" s="609"/>
      <c r="H59" s="609"/>
      <c r="I59" s="609"/>
      <c r="J59" s="609"/>
      <c r="K59" s="609"/>
      <c r="L59" s="609"/>
      <c r="M59" s="609"/>
      <c r="N59" s="609"/>
      <c r="O59" s="609"/>
      <c r="R59" s="38"/>
      <c r="S59" s="54"/>
      <c r="T59" s="54"/>
      <c r="U59" s="195"/>
      <c r="V59" s="54"/>
      <c r="W59" s="54"/>
      <c r="X59" s="54"/>
      <c r="Y59" s="54"/>
      <c r="Z59" s="54"/>
      <c r="AA59" s="54"/>
      <c r="AB59" s="54"/>
      <c r="AC59" s="54"/>
      <c r="AD59" s="54"/>
      <c r="AE59" s="54"/>
      <c r="AF59" s="54"/>
      <c r="AG59" s="54"/>
      <c r="AH59" s="54"/>
      <c r="AI59" s="54"/>
      <c r="AJ59" s="54"/>
      <c r="AK59" s="64"/>
      <c r="AL59" s="54"/>
      <c r="AM59" s="54"/>
      <c r="AN59" s="54"/>
      <c r="AO59" s="54"/>
      <c r="AP59" s="54"/>
      <c r="AQ59" s="60"/>
      <c r="AR59" s="60"/>
    </row>
    <row r="60" spans="1:44" s="16" customFormat="1" ht="19.149999999999999" customHeight="1" x14ac:dyDescent="0.25">
      <c r="A60" s="260"/>
      <c r="B60" s="292">
        <f>IF(SUM(K25:L27)&gt;0,1,0)</f>
        <v>0</v>
      </c>
      <c r="C60" s="609" t="s">
        <v>365</v>
      </c>
      <c r="D60" s="609"/>
      <c r="E60" s="609"/>
      <c r="F60" s="609"/>
      <c r="G60" s="609"/>
      <c r="H60" s="609"/>
      <c r="I60" s="609"/>
      <c r="J60" s="609"/>
      <c r="K60" s="609"/>
      <c r="L60" s="609"/>
      <c r="M60" s="609"/>
      <c r="N60" s="609"/>
      <c r="O60" s="609"/>
      <c r="R60" s="38"/>
      <c r="S60" s="54"/>
      <c r="T60" s="54"/>
      <c r="U60" s="195"/>
      <c r="V60" s="54"/>
      <c r="W60" s="54"/>
      <c r="X60" s="54"/>
      <c r="Y60" s="54"/>
      <c r="Z60" s="54"/>
      <c r="AA60" s="54"/>
      <c r="AB60" s="54"/>
      <c r="AC60" s="54"/>
      <c r="AD60" s="54"/>
      <c r="AE60" s="54"/>
      <c r="AF60" s="54"/>
      <c r="AG60" s="54"/>
      <c r="AH60" s="54"/>
      <c r="AI60" s="54"/>
      <c r="AJ60" s="54"/>
      <c r="AK60" s="54"/>
      <c r="AL60" s="54"/>
      <c r="AM60" s="54"/>
      <c r="AN60" s="54"/>
      <c r="AO60" s="54"/>
      <c r="AP60" s="54"/>
      <c r="AQ60" s="54"/>
      <c r="AR60" s="54"/>
    </row>
    <row r="61" spans="1:44" s="16" customFormat="1" ht="19.149999999999999" customHeight="1" x14ac:dyDescent="0.25">
      <c r="A61" s="260"/>
      <c r="B61" s="292">
        <f>IF(ISNUMBER('4 Datengrundlage'!F10),1,0)</f>
        <v>0</v>
      </c>
      <c r="C61" s="609" t="s">
        <v>112</v>
      </c>
      <c r="D61" s="609"/>
      <c r="E61" s="609"/>
      <c r="F61" s="609"/>
      <c r="G61" s="609"/>
      <c r="H61" s="609"/>
      <c r="I61" s="609"/>
      <c r="J61" s="609"/>
      <c r="K61" s="609"/>
      <c r="L61" s="609"/>
      <c r="M61" s="609"/>
      <c r="N61" s="609"/>
      <c r="O61" s="609"/>
      <c r="R61" s="38"/>
      <c r="S61" s="54"/>
      <c r="T61" s="54"/>
      <c r="U61" s="195"/>
      <c r="V61" s="54"/>
      <c r="W61" s="54"/>
      <c r="X61" s="54"/>
      <c r="Y61" s="54"/>
      <c r="Z61" s="54"/>
      <c r="AA61" s="54"/>
      <c r="AB61" s="54"/>
      <c r="AC61" s="54"/>
      <c r="AD61" s="54"/>
      <c r="AE61" s="54"/>
      <c r="AF61" s="54"/>
      <c r="AG61" s="54"/>
      <c r="AH61" s="54"/>
      <c r="AI61" s="54"/>
      <c r="AJ61" s="54"/>
      <c r="AK61" s="54"/>
      <c r="AL61" s="54"/>
      <c r="AM61" s="54"/>
      <c r="AN61" s="54"/>
      <c r="AO61" s="54"/>
      <c r="AP61" s="54"/>
      <c r="AQ61" s="54"/>
      <c r="AR61" s="54"/>
    </row>
    <row r="62" spans="1:44" s="16" customFormat="1" ht="19.149999999999999" customHeight="1" x14ac:dyDescent="0.25">
      <c r="A62" s="260"/>
      <c r="B62" s="292">
        <f ca="1">AY20</f>
        <v>0</v>
      </c>
      <c r="C62" s="645" t="str">
        <f ca="1">"Nachweis"&amp;IF(B62&gt;1,"e","")&amp;" Einstrahlungswerte für die Dachflächen: "&amp;AZ20</f>
        <v>Nachweis Einstrahlungswerte für die Dachflächen: 0</v>
      </c>
      <c r="D62" s="645"/>
      <c r="E62" s="645"/>
      <c r="F62" s="645"/>
      <c r="G62" s="645"/>
      <c r="H62" s="645"/>
      <c r="I62" s="645"/>
      <c r="J62" s="645"/>
      <c r="K62" s="645"/>
      <c r="L62" s="645"/>
      <c r="M62" s="645"/>
      <c r="N62" s="645"/>
      <c r="O62" s="645"/>
      <c r="R62" s="38"/>
      <c r="S62" s="54"/>
      <c r="T62" s="54"/>
      <c r="U62" s="195"/>
      <c r="V62" s="54"/>
      <c r="W62" s="54"/>
      <c r="X62" s="54"/>
      <c r="Y62" s="54"/>
      <c r="Z62" s="54"/>
      <c r="AA62" s="54"/>
      <c r="AB62" s="54"/>
      <c r="AC62" s="54"/>
      <c r="AD62" s="54"/>
      <c r="AE62" s="54"/>
      <c r="AF62" s="54"/>
      <c r="AG62" s="54"/>
      <c r="AH62" s="54"/>
      <c r="AI62" s="54"/>
      <c r="AJ62" s="54"/>
      <c r="AK62" s="54"/>
      <c r="AL62" s="54"/>
      <c r="AM62" s="54"/>
      <c r="AN62" s="54"/>
      <c r="AO62" s="54"/>
      <c r="AP62" s="54"/>
      <c r="AQ62" s="54"/>
      <c r="AR62" s="54"/>
    </row>
    <row r="63" spans="1:44" s="16" customFormat="1" ht="19.149999999999999" customHeight="1" x14ac:dyDescent="0.25">
      <c r="A63" s="260"/>
      <c r="B63" s="292">
        <f ca="1">BA20</f>
        <v>0</v>
      </c>
      <c r="C63" s="609" t="str">
        <f ca="1">"Blendbericht"&amp;IF(B63&gt;1,"e","")&amp;" für die Dachflächen: "&amp;BB20</f>
        <v>Blendbericht für die Dachflächen: 0</v>
      </c>
      <c r="D63" s="609"/>
      <c r="E63" s="609"/>
      <c r="F63" s="609"/>
      <c r="G63" s="609"/>
      <c r="H63" s="609"/>
      <c r="I63" s="609"/>
      <c r="J63" s="609"/>
      <c r="K63" s="609"/>
      <c r="L63" s="609"/>
      <c r="M63" s="609"/>
      <c r="N63" s="609"/>
      <c r="O63" s="609"/>
      <c r="R63" s="38"/>
      <c r="S63" s="54"/>
      <c r="T63" s="54"/>
      <c r="U63" s="195"/>
      <c r="V63" s="54"/>
      <c r="W63" s="54"/>
      <c r="X63" s="54"/>
      <c r="Y63" s="54"/>
      <c r="Z63" s="54"/>
      <c r="AA63" s="54"/>
      <c r="AB63" s="54"/>
      <c r="AC63" s="54"/>
      <c r="AD63" s="54"/>
      <c r="AE63" s="54"/>
      <c r="AF63" s="54"/>
      <c r="AG63" s="54"/>
      <c r="AH63" s="54"/>
      <c r="AI63" s="54"/>
      <c r="AJ63" s="54"/>
      <c r="AK63" s="54"/>
      <c r="AL63" s="54"/>
      <c r="AM63" s="54"/>
      <c r="AN63" s="54"/>
      <c r="AO63" s="54"/>
      <c r="AP63" s="54"/>
      <c r="AQ63" s="54"/>
      <c r="AR63" s="54"/>
    </row>
    <row r="64" spans="1:44" s="16" customFormat="1" ht="19.149999999999999" customHeight="1" x14ac:dyDescent="0.25">
      <c r="A64" s="260"/>
      <c r="B64" s="292">
        <f ca="1">IF(BA20&gt;0,1,0)</f>
        <v>0</v>
      </c>
      <c r="C64" s="609" t="str">
        <f>"Moduldatenblatt Blendarmes Modul inkl. Testreport Messung Leuchtdichte"</f>
        <v>Moduldatenblatt Blendarmes Modul inkl. Testreport Messung Leuchtdichte</v>
      </c>
      <c r="D64" s="609"/>
      <c r="E64" s="609"/>
      <c r="F64" s="609"/>
      <c r="G64" s="609"/>
      <c r="H64" s="609"/>
      <c r="I64" s="609"/>
      <c r="J64" s="609"/>
      <c r="K64" s="609"/>
      <c r="L64" s="609"/>
      <c r="M64" s="609"/>
      <c r="N64" s="609"/>
      <c r="O64" s="609"/>
      <c r="R64" s="591"/>
      <c r="S64" s="65"/>
      <c r="T64" s="65"/>
      <c r="U64" s="198"/>
      <c r="V64" s="65"/>
      <c r="W64" s="65"/>
      <c r="X64" s="65"/>
      <c r="Y64" s="65"/>
      <c r="Z64" s="65"/>
      <c r="AA64" s="65"/>
      <c r="AB64" s="65"/>
      <c r="AC64" s="65"/>
      <c r="AD64" s="65"/>
      <c r="AE64" s="65"/>
      <c r="AF64" s="65"/>
      <c r="AG64" s="65"/>
      <c r="AH64" s="65"/>
      <c r="AI64" s="65"/>
      <c r="AJ64" s="65"/>
      <c r="AK64" s="65"/>
      <c r="AL64" s="65"/>
      <c r="AM64" s="65"/>
      <c r="AN64" s="65"/>
      <c r="AO64" s="65"/>
      <c r="AP64" s="65"/>
      <c r="AQ64" s="65"/>
      <c r="AR64" s="65"/>
    </row>
    <row r="65" spans="1:44" s="16" customFormat="1" ht="19.149999999999999" customHeight="1" x14ac:dyDescent="0.25">
      <c r="A65" s="260"/>
      <c r="B65" s="292">
        <f>ISNUMBER(D44)*1+ISNUMBER(K44)*1</f>
        <v>0</v>
      </c>
      <c r="C65" s="609" t="s">
        <v>404</v>
      </c>
      <c r="D65" s="609"/>
      <c r="E65" s="609"/>
      <c r="F65" s="609"/>
      <c r="G65" s="609"/>
      <c r="H65" s="609"/>
      <c r="I65" s="609"/>
      <c r="J65" s="609"/>
      <c r="K65" s="609"/>
      <c r="L65" s="609"/>
      <c r="M65" s="609"/>
      <c r="N65" s="609"/>
      <c r="O65" s="609"/>
      <c r="R65" s="591"/>
      <c r="S65" s="65"/>
      <c r="T65" s="65"/>
      <c r="U65" s="198"/>
      <c r="V65" s="65"/>
      <c r="W65" s="65"/>
      <c r="X65" s="65"/>
      <c r="Y65" s="65"/>
      <c r="Z65" s="65"/>
      <c r="AA65" s="65"/>
      <c r="AB65" s="65"/>
      <c r="AC65" s="65"/>
      <c r="AD65" s="65"/>
      <c r="AE65" s="65"/>
      <c r="AF65" s="65"/>
      <c r="AG65" s="65"/>
      <c r="AH65" s="65"/>
      <c r="AI65" s="65"/>
      <c r="AJ65" s="65"/>
      <c r="AK65" s="65"/>
      <c r="AL65" s="65"/>
      <c r="AM65" s="65"/>
      <c r="AN65" s="65"/>
      <c r="AO65" s="65"/>
      <c r="AP65" s="65"/>
      <c r="AQ65" s="65"/>
      <c r="AR65" s="65"/>
    </row>
    <row r="66" spans="1:44" s="16" customFormat="1" ht="19.149999999999999" customHeight="1" x14ac:dyDescent="0.25">
      <c r="A66" s="260"/>
      <c r="B66" s="292">
        <f>IF(_Tarif_Unterhalt_Basisdaten=_Tarif_Unterhalt_Rechenwert_t.Vb.,0,1)+IF(_Tarif_Unterhalt_Basisdaten=_Tarif_Unterhalt_Rechenwert_g.Min.,0,1)</f>
        <v>0</v>
      </c>
      <c r="C66" s="609" t="s">
        <v>405</v>
      </c>
      <c r="D66" s="609"/>
      <c r="E66" s="609"/>
      <c r="F66" s="609"/>
      <c r="G66" s="609"/>
      <c r="H66" s="609"/>
      <c r="I66" s="609"/>
      <c r="J66" s="609"/>
      <c r="K66" s="609"/>
      <c r="L66" s="609"/>
      <c r="M66" s="609"/>
      <c r="N66" s="609"/>
      <c r="O66" s="609"/>
      <c r="R66" s="591"/>
      <c r="S66" s="65"/>
      <c r="T66" s="65"/>
      <c r="U66" s="198"/>
      <c r="V66" s="65"/>
      <c r="W66" s="65"/>
      <c r="X66" s="65"/>
      <c r="Y66" s="65"/>
      <c r="Z66" s="65"/>
      <c r="AA66" s="65"/>
      <c r="AB66" s="65"/>
      <c r="AC66" s="65"/>
      <c r="AD66" s="65"/>
      <c r="AE66" s="65"/>
      <c r="AF66" s="65"/>
      <c r="AG66" s="65"/>
      <c r="AH66" s="65"/>
      <c r="AI66" s="65"/>
      <c r="AJ66" s="65"/>
      <c r="AK66" s="65"/>
      <c r="AL66" s="65"/>
      <c r="AM66" s="65"/>
      <c r="AN66" s="65"/>
      <c r="AO66" s="65"/>
      <c r="AP66" s="65"/>
      <c r="AQ66" s="65"/>
      <c r="AR66" s="65"/>
    </row>
    <row r="67" spans="1:44" s="16" customFormat="1" ht="19.149999999999999" customHeight="1" thickBot="1" x14ac:dyDescent="0.3">
      <c r="A67" s="260"/>
      <c r="B67" s="301"/>
      <c r="C67" s="646"/>
      <c r="D67" s="646"/>
      <c r="E67" s="646"/>
      <c r="F67" s="646"/>
      <c r="G67" s="646"/>
      <c r="H67" s="646"/>
      <c r="I67" s="646"/>
      <c r="J67" s="646"/>
      <c r="K67" s="646"/>
      <c r="L67" s="646"/>
      <c r="M67" s="646"/>
      <c r="N67" s="646"/>
      <c r="O67" s="647"/>
      <c r="R67" s="591"/>
      <c r="S67" s="65"/>
      <c r="T67" s="65"/>
      <c r="U67" s="198"/>
      <c r="V67" s="65"/>
      <c r="W67" s="65"/>
      <c r="X67" s="65"/>
      <c r="Y67" s="65"/>
      <c r="Z67" s="65"/>
      <c r="AA67" s="65"/>
      <c r="AB67" s="65"/>
      <c r="AC67" s="65"/>
      <c r="AD67" s="65"/>
      <c r="AE67" s="65"/>
      <c r="AF67" s="65"/>
      <c r="AG67" s="65"/>
      <c r="AH67" s="65"/>
      <c r="AI67" s="65"/>
      <c r="AJ67" s="65"/>
      <c r="AK67" s="65"/>
      <c r="AL67" s="65"/>
      <c r="AM67" s="65"/>
      <c r="AN67" s="65"/>
      <c r="AO67" s="65"/>
      <c r="AP67" s="65"/>
      <c r="AQ67" s="65"/>
      <c r="AR67" s="65"/>
    </row>
    <row r="68" spans="1:44" s="16" customFormat="1" ht="19.149999999999999" customHeight="1" thickTop="1" x14ac:dyDescent="0.25">
      <c r="A68" s="260"/>
      <c r="B68" s="302"/>
      <c r="C68" s="643"/>
      <c r="D68" s="643"/>
      <c r="E68" s="643"/>
      <c r="F68" s="643"/>
      <c r="G68" s="643"/>
      <c r="H68" s="643"/>
      <c r="I68" s="643"/>
      <c r="J68" s="643"/>
      <c r="K68" s="643"/>
      <c r="L68" s="643"/>
      <c r="M68" s="643"/>
      <c r="N68" s="643"/>
      <c r="O68" s="644"/>
      <c r="R68" s="591"/>
      <c r="S68" s="65"/>
      <c r="T68" s="65"/>
      <c r="U68" s="198"/>
      <c r="V68" s="65"/>
      <c r="W68" s="65"/>
      <c r="X68" s="65"/>
      <c r="Y68" s="65"/>
      <c r="Z68" s="65"/>
      <c r="AA68" s="65"/>
      <c r="AB68" s="65"/>
      <c r="AC68" s="65"/>
      <c r="AD68" s="65"/>
      <c r="AE68" s="65"/>
      <c r="AF68" s="65"/>
      <c r="AG68" s="65"/>
      <c r="AH68" s="65"/>
      <c r="AI68" s="65"/>
      <c r="AJ68" s="65"/>
      <c r="AK68" s="65"/>
      <c r="AL68" s="65"/>
      <c r="AM68" s="65"/>
      <c r="AN68" s="65"/>
      <c r="AO68" s="65"/>
      <c r="AP68" s="65"/>
      <c r="AQ68" s="65"/>
      <c r="AR68" s="65"/>
    </row>
    <row r="69" spans="1:44" x14ac:dyDescent="0.2"/>
    <row r="70" spans="1:44" x14ac:dyDescent="0.2"/>
    <row r="71" spans="1:44" x14ac:dyDescent="0.2"/>
    <row r="72" spans="1:44" x14ac:dyDescent="0.2"/>
    <row r="73" spans="1:44" x14ac:dyDescent="0.2"/>
    <row r="74" spans="1:44" x14ac:dyDescent="0.2"/>
    <row r="75" spans="1:44" x14ac:dyDescent="0.2"/>
    <row r="76" spans="1:44" x14ac:dyDescent="0.2"/>
    <row r="77" spans="1:44" x14ac:dyDescent="0.2"/>
    <row r="78" spans="1:44" x14ac:dyDescent="0.2"/>
    <row r="79" spans="1:44" x14ac:dyDescent="0.2"/>
    <row r="80" spans="1:44"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sheetData>
  <sheetProtection algorithmName="SHA-512" hashValue="TkiP6FLeG9h0dRR6tAC1ONbDzNuTXpxuii32RfEn99au75me9nqutkXff3hIB2zfMwQUw7cpviRvMP/j/O234w==" saltValue="2hQS6brCzIXURHH8Ubcu8w==" spinCount="100000" sheet="1" objects="1" scenarios="1" selectLockedCells="1" autoFilter="0"/>
  <mergeCells count="127">
    <mergeCell ref="B1:O1"/>
    <mergeCell ref="B7:O7"/>
    <mergeCell ref="B22:O22"/>
    <mergeCell ref="B43:O43"/>
    <mergeCell ref="B50:O50"/>
    <mergeCell ref="B55:O55"/>
    <mergeCell ref="B20:C20"/>
    <mergeCell ref="J2:L2"/>
    <mergeCell ref="J3:L3"/>
    <mergeCell ref="G24:J24"/>
    <mergeCell ref="D8:G8"/>
    <mergeCell ref="H8:J8"/>
    <mergeCell ref="D37:F37"/>
    <mergeCell ref="G37:I37"/>
    <mergeCell ref="D38:F38"/>
    <mergeCell ref="G38:I38"/>
    <mergeCell ref="U9:AH9"/>
    <mergeCell ref="Z10:AA10"/>
    <mergeCell ref="B3:C3"/>
    <mergeCell ref="B4:C4"/>
    <mergeCell ref="D2:I2"/>
    <mergeCell ref="D3:I3"/>
    <mergeCell ref="D23:J23"/>
    <mergeCell ref="K23:O23"/>
    <mergeCell ref="K24:L24"/>
    <mergeCell ref="M24:O24"/>
    <mergeCell ref="B8:C8"/>
    <mergeCell ref="M4:O4"/>
    <mergeCell ref="J4:L4"/>
    <mergeCell ref="B5:C5"/>
    <mergeCell ref="D5:F5"/>
    <mergeCell ref="AI10:AJ10"/>
    <mergeCell ref="X10:Y10"/>
    <mergeCell ref="AN10:AO10"/>
    <mergeCell ref="AB10:AC10"/>
    <mergeCell ref="K25:L25"/>
    <mergeCell ref="M25:N25"/>
    <mergeCell ref="M38:N38"/>
    <mergeCell ref="B34:C34"/>
    <mergeCell ref="B27:C27"/>
    <mergeCell ref="B28:C28"/>
    <mergeCell ref="M30:N30"/>
    <mergeCell ref="K31:L31"/>
    <mergeCell ref="M31:N31"/>
    <mergeCell ref="M26:N26"/>
    <mergeCell ref="K27:L27"/>
    <mergeCell ref="M27:N27"/>
    <mergeCell ref="K26:L26"/>
    <mergeCell ref="D31:F31"/>
    <mergeCell ref="M32:N32"/>
    <mergeCell ref="K33:L33"/>
    <mergeCell ref="M33:N33"/>
    <mergeCell ref="D32:F32"/>
    <mergeCell ref="G32:I32"/>
    <mergeCell ref="D33:F33"/>
    <mergeCell ref="C68:O68"/>
    <mergeCell ref="C61:O61"/>
    <mergeCell ref="C62:O62"/>
    <mergeCell ref="C65:O65"/>
    <mergeCell ref="C67:O67"/>
    <mergeCell ref="C64:O64"/>
    <mergeCell ref="AP9:AV9"/>
    <mergeCell ref="AP10:AQ10"/>
    <mergeCell ref="AU10:AV10"/>
    <mergeCell ref="V10:W10"/>
    <mergeCell ref="AI9:AO9"/>
    <mergeCell ref="G31:I31"/>
    <mergeCell ref="G26:I26"/>
    <mergeCell ref="D27:F27"/>
    <mergeCell ref="G27:I27"/>
    <mergeCell ref="D30:F30"/>
    <mergeCell ref="G30:I30"/>
    <mergeCell ref="K36:L36"/>
    <mergeCell ref="M36:N36"/>
    <mergeCell ref="D35:F35"/>
    <mergeCell ref="G35:I35"/>
    <mergeCell ref="D36:F36"/>
    <mergeCell ref="G36:I36"/>
    <mergeCell ref="K39:L39"/>
    <mergeCell ref="AW9:BC9"/>
    <mergeCell ref="C58:O58"/>
    <mergeCell ref="C59:O59"/>
    <mergeCell ref="M2:O2"/>
    <mergeCell ref="M3:O3"/>
    <mergeCell ref="D4:I4"/>
    <mergeCell ref="K8:L8"/>
    <mergeCell ref="J5:L5"/>
    <mergeCell ref="M8:N8"/>
    <mergeCell ref="D51:J51"/>
    <mergeCell ref="K51:O51"/>
    <mergeCell ref="B2:C2"/>
    <mergeCell ref="K30:L30"/>
    <mergeCell ref="D24:F24"/>
    <mergeCell ref="D25:F25"/>
    <mergeCell ref="G25:I25"/>
    <mergeCell ref="D26:F26"/>
    <mergeCell ref="K35:L35"/>
    <mergeCell ref="M37:N37"/>
    <mergeCell ref="K38:L38"/>
    <mergeCell ref="K32:L32"/>
    <mergeCell ref="G33:I33"/>
    <mergeCell ref="M35:N35"/>
    <mergeCell ref="M39:N39"/>
    <mergeCell ref="C66:O66"/>
    <mergeCell ref="K41:L41"/>
    <mergeCell ref="M41:N41"/>
    <mergeCell ref="D39:F39"/>
    <mergeCell ref="G39:I39"/>
    <mergeCell ref="D41:F41"/>
    <mergeCell ref="G41:I41"/>
    <mergeCell ref="K37:L37"/>
    <mergeCell ref="K53:O53"/>
    <mergeCell ref="C63:O63"/>
    <mergeCell ref="D44:F44"/>
    <mergeCell ref="G44:I44"/>
    <mergeCell ref="K44:L44"/>
    <mergeCell ref="M44:N44"/>
    <mergeCell ref="D45:F45"/>
    <mergeCell ref="G45:I45"/>
    <mergeCell ref="B40:C40"/>
    <mergeCell ref="K45:L45"/>
    <mergeCell ref="M45:N45"/>
    <mergeCell ref="C60:O60"/>
    <mergeCell ref="C56:O56"/>
    <mergeCell ref="C57:O57"/>
    <mergeCell ref="D53:J53"/>
    <mergeCell ref="D52:J52"/>
  </mergeCells>
  <conditionalFormatting sqref="D53">
    <cfRule type="expression" dxfId="52" priority="10">
      <formula>OR(_Amortisationszeit_t.Vb.&gt;_zul_Amortisationszeit,_Amortisationszeit_t.Vb.=0)</formula>
    </cfRule>
  </conditionalFormatting>
  <conditionalFormatting sqref="K53">
    <cfRule type="expression" dxfId="51" priority="9">
      <formula>OR(_Amortisationszeit_g.Min.&gt;_zul_Amortisationszeit,_Amortisationszeit_g.Min.=0)</formula>
    </cfRule>
  </conditionalFormatting>
  <pageMargins left="0.55118110236220474" right="0.51181102362204722" top="0.74803149606299213" bottom="0.70866141732283472" header="0.31496062992125984" footer="0.31496062992125984"/>
  <pageSetup paperSize="9" scale="67" fitToHeight="0" orientation="portrait" r:id="rId1"/>
  <headerFooter>
    <oddHeader xml:space="preserve">&amp;L&amp;8         Planungshilfe Nachweis wirtschaftliche Unverhältnismässigkeit&amp;R&amp;8Stadt Luzern </oddHeader>
    <oddFooter xml:space="preserve">&amp;L&amp;8         &amp;P | &amp;N&amp;R&amp;8Nächste Revision 12.12.2026 </oddFooter>
    <firstHeader>&amp;L&amp;G</firstHeader>
  </headerFooter>
  <rowBreaks count="1" manualBreakCount="1">
    <brk id="48" max="16383" man="1"/>
  </rowBreaks>
  <drawing r:id="rId2"/>
  <legacyDrawingHF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1000000}">
          <x14:formula1>
            <xm:f>Basisdaten!$H$49:$I$49</xm:f>
          </x14:formula1>
          <xm:sqref>M2</xm:sqref>
        </x14:dataValidation>
        <x14:dataValidation type="list" allowBlank="1" showInputMessage="1" showErrorMessage="1" xr:uid="{B4F02E38-A667-41CE-BED8-00653E558D2B}">
          <x14:formula1>
            <xm:f>Basisdaten!$B$164:$B$165</xm:f>
          </x14:formula1>
          <xm:sqref>M5</xm:sqref>
        </x14:dataValidation>
        <x14:dataValidation type="list" allowBlank="1" showInputMessage="1" showErrorMessage="1" xr:uid="{D5824A7E-56E7-4B22-931F-F98DCA7D32CC}">
          <x14:formula1>
            <xm:f>'Faktor Eigenverbrauch'!$B$1:$E$1</xm:f>
          </x14:formula1>
          <xm:sqref>M4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N76"/>
  <sheetViews>
    <sheetView showGridLines="0" view="pageLayout" topLeftCell="A28" zoomScaleNormal="100" zoomScaleSheetLayoutView="130" workbookViewId="0">
      <selection activeCell="F10" sqref="F10"/>
    </sheetView>
  </sheetViews>
  <sheetFormatPr baseColWidth="10" defaultColWidth="0" defaultRowHeight="12.75" zeroHeight="1" x14ac:dyDescent="0.2"/>
  <cols>
    <col min="1" max="1" width="3.7109375" style="257" customWidth="1"/>
    <col min="2" max="2" width="3" customWidth="1"/>
    <col min="3" max="3" width="33" customWidth="1"/>
    <col min="4" max="4" width="13" customWidth="1"/>
    <col min="5" max="5" width="15.28515625" customWidth="1"/>
    <col min="6" max="6" width="15.5703125" customWidth="1"/>
    <col min="7" max="7" width="12.42578125" customWidth="1"/>
    <col min="8" max="8" width="29.5703125" customWidth="1"/>
    <col min="9" max="9" width="14" customWidth="1"/>
    <col min="10" max="11" width="3.5703125" customWidth="1"/>
    <col min="12" max="14" width="0" hidden="1" customWidth="1"/>
    <col min="15" max="16384" width="11.42578125" hidden="1"/>
  </cols>
  <sheetData>
    <row r="1" spans="1:14" s="286" customFormat="1" ht="21" customHeight="1" x14ac:dyDescent="0.25">
      <c r="A1" s="506"/>
      <c r="B1" s="683" t="s">
        <v>26</v>
      </c>
      <c r="C1" s="683"/>
      <c r="D1" s="683"/>
    </row>
    <row r="2" spans="1:14" s="16" customFormat="1" ht="19.899999999999999" customHeight="1" x14ac:dyDescent="0.25">
      <c r="A2" s="260"/>
      <c r="B2" s="684" t="s">
        <v>24</v>
      </c>
      <c r="C2" s="685"/>
      <c r="D2" s="692">
        <f>_Projektname</f>
        <v>0</v>
      </c>
      <c r="E2" s="693"/>
      <c r="F2" s="693"/>
      <c r="H2" s="500" t="str">
        <f>'3 Bericht'!J2</f>
        <v>Netzversorger</v>
      </c>
      <c r="I2" s="501">
        <f>_Netzversorger</f>
        <v>0</v>
      </c>
    </row>
    <row r="3" spans="1:14" s="16" customFormat="1" ht="19.899999999999999" customHeight="1" x14ac:dyDescent="0.25">
      <c r="A3" s="260"/>
      <c r="B3" s="686" t="s">
        <v>25</v>
      </c>
      <c r="C3" s="687"/>
      <c r="D3" s="694">
        <f>_Adresse</f>
        <v>0</v>
      </c>
      <c r="E3" s="695"/>
      <c r="F3" s="695"/>
      <c r="H3" s="499" t="str">
        <f>'3 Bericht'!J3</f>
        <v>Fertigstellung (geplant)</v>
      </c>
      <c r="I3" s="585">
        <f>_Datum_IBS</f>
        <v>0</v>
      </c>
    </row>
    <row r="4" spans="1:14" s="16" customFormat="1" ht="19.899999999999999" customHeight="1" x14ac:dyDescent="0.25">
      <c r="A4" s="260"/>
      <c r="B4" s="688" t="s">
        <v>3</v>
      </c>
      <c r="C4" s="689"/>
      <c r="D4" s="692">
        <f>_PLZ</f>
        <v>0</v>
      </c>
      <c r="E4" s="693"/>
      <c r="F4" s="693"/>
      <c r="H4" s="498" t="str">
        <f>'3 Bericht'!J5</f>
        <v>MWSt. pflichtig</v>
      </c>
      <c r="I4" s="502" t="str">
        <f>'3 Bericht'!M5</f>
        <v>Nein</v>
      </c>
    </row>
    <row r="5" spans="1:14" x14ac:dyDescent="0.2"/>
    <row r="6" spans="1:14" s="286" customFormat="1" ht="17.25" x14ac:dyDescent="0.25">
      <c r="A6" s="506"/>
      <c r="B6" s="679" t="s">
        <v>106</v>
      </c>
      <c r="C6" s="679"/>
      <c r="D6" s="679"/>
    </row>
    <row r="7" spans="1:14" s="38" customFormat="1" ht="19.899999999999999" customHeight="1" x14ac:dyDescent="0.25">
      <c r="A7" s="507"/>
      <c r="B7" s="435"/>
      <c r="C7" s="435"/>
      <c r="D7" s="690" t="s">
        <v>70</v>
      </c>
      <c r="E7" s="691"/>
      <c r="F7" s="681" t="s">
        <v>86</v>
      </c>
      <c r="G7" s="682"/>
      <c r="H7" s="491"/>
      <c r="I7" s="13"/>
    </row>
    <row r="8" spans="1:14" s="16" customFormat="1" ht="19.899999999999999" hidden="1" customHeight="1" x14ac:dyDescent="0.25">
      <c r="A8" s="261"/>
      <c r="B8" s="437"/>
      <c r="C8" s="437" t="str">
        <f>Basisdaten!B17</f>
        <v>Einstrahlung horizontale Fläche</v>
      </c>
      <c r="D8" s="438">
        <f>VLOOKUP(C8,Basisdaten!B:F,3,FALSE)</f>
        <v>1100</v>
      </c>
      <c r="E8" s="439" t="str">
        <f>VLOOKUP(C8,Basisdaten!B:F,4,FALSE)</f>
        <v>kWh/m2</v>
      </c>
      <c r="F8" s="440"/>
      <c r="G8" s="441"/>
      <c r="H8" s="492"/>
      <c r="I8" s="437"/>
      <c r="M8" s="680"/>
      <c r="N8" s="680"/>
    </row>
    <row r="9" spans="1:14" s="16" customFormat="1" ht="19.899999999999999" hidden="1" customHeight="1" x14ac:dyDescent="0.25">
      <c r="A9" s="261"/>
      <c r="B9" s="437"/>
      <c r="C9" s="437" t="s">
        <v>83</v>
      </c>
      <c r="D9" s="442">
        <f>ROUND(D8/10*0.82,0)*10</f>
        <v>900</v>
      </c>
      <c r="E9" s="443" t="s">
        <v>57</v>
      </c>
      <c r="F9" s="444"/>
      <c r="G9" s="445"/>
      <c r="H9" s="493"/>
      <c r="I9" s="437"/>
      <c r="K9" s="68"/>
      <c r="M9" s="680"/>
      <c r="N9" s="680"/>
    </row>
    <row r="10" spans="1:14" s="16" customFormat="1" ht="19.899999999999999" customHeight="1" x14ac:dyDescent="0.25">
      <c r="A10" s="260"/>
      <c r="B10" s="303"/>
      <c r="C10" s="303" t="str">
        <f>IF(G10=E8,C8,C9)</f>
        <v>Einstrahlung horizontale Fläche</v>
      </c>
      <c r="D10" s="446">
        <f>IF(ISNUMBER(F10),F10,IF(G10=E8,D8,D9))</f>
        <v>1100</v>
      </c>
      <c r="E10" s="303" t="str">
        <f>IF(G10=E8,E8,E9)</f>
        <v>kWh/m2</v>
      </c>
      <c r="F10" s="447"/>
      <c r="G10" s="448" t="s">
        <v>103</v>
      </c>
      <c r="H10" s="494" t="str">
        <f>VLOOKUP(C8,Basisdaten!B:F,5,FALSE)</f>
        <v>Wetterstation Luzern</v>
      </c>
      <c r="I10" s="303"/>
      <c r="N10" s="69"/>
    </row>
    <row r="11" spans="1:14" s="16" customFormat="1" ht="19.899999999999999" hidden="1" customHeight="1" x14ac:dyDescent="0.25">
      <c r="A11" s="261"/>
      <c r="B11" s="449"/>
      <c r="C11" s="449" t="s">
        <v>105</v>
      </c>
      <c r="D11" s="450">
        <f>IF(E10=E9,D10,ROUND(D10/10*0.82,0)*10)</f>
        <v>900</v>
      </c>
      <c r="E11" s="451" t="s">
        <v>57</v>
      </c>
      <c r="F11" s="452"/>
      <c r="G11" s="453"/>
      <c r="H11" s="495"/>
      <c r="I11" s="449"/>
      <c r="M11" s="680"/>
      <c r="N11" s="680"/>
    </row>
    <row r="12" spans="1:14" x14ac:dyDescent="0.2">
      <c r="H12" s="490"/>
    </row>
    <row r="13" spans="1:14" s="286" customFormat="1" ht="17.25" x14ac:dyDescent="0.25">
      <c r="A13" s="506"/>
      <c r="B13" s="679" t="s">
        <v>150</v>
      </c>
      <c r="C13" s="679"/>
      <c r="D13" s="679"/>
      <c r="H13" s="490" t="str">
        <f>"(Referenz: "&amp;_Bez_Modul_Standard&amp;")"</f>
        <v>(Referenz: DB_DE_Jinko_JKM475N-48QL6-DV)</v>
      </c>
    </row>
    <row r="14" spans="1:14" s="38" customFormat="1" ht="19.899999999999999" customHeight="1" x14ac:dyDescent="0.25">
      <c r="A14" s="507"/>
      <c r="B14" s="398"/>
      <c r="C14" s="398"/>
      <c r="D14" s="677" t="s">
        <v>70</v>
      </c>
      <c r="E14" s="678"/>
      <c r="F14" s="681" t="s">
        <v>86</v>
      </c>
      <c r="G14" s="682"/>
      <c r="H14" s="490"/>
      <c r="I14"/>
    </row>
    <row r="15" spans="1:14" s="93" customFormat="1" ht="19.899999999999999" hidden="1" customHeight="1" x14ac:dyDescent="0.25">
      <c r="A15" s="508"/>
      <c r="B15" s="454"/>
      <c r="C15" s="455" t="str">
        <f>Basisdaten!B21</f>
        <v>Modulbezeichnung</v>
      </c>
      <c r="D15" s="456" t="str">
        <f>IF(ISNUMBER(F15),F15,VLOOKUP(C15,Basisdaten!B:E,3,FALSE))</f>
        <v>DB_DE_Jinko_JKM475N-48QL6-DV</v>
      </c>
      <c r="E15" s="457"/>
      <c r="F15" s="458"/>
      <c r="G15" s="459"/>
      <c r="H15" s="496"/>
      <c r="I15" s="460"/>
    </row>
    <row r="16" spans="1:14" s="16" customFormat="1" ht="19.899999999999999" customHeight="1" x14ac:dyDescent="0.25">
      <c r="A16" s="260"/>
      <c r="B16" s="297"/>
      <c r="C16" s="297" t="str">
        <f>Basisdaten!B22</f>
        <v>Modulleistung</v>
      </c>
      <c r="D16" s="461">
        <f>IF(ISNUMBER(F16),F16,VLOOKUP(C16,Basisdaten!B:E,3,FALSE))</f>
        <v>475</v>
      </c>
      <c r="E16" s="298" t="str">
        <f>VLOOKUP(C16,Basisdaten!B:E,4,FALSE)</f>
        <v>Wp</v>
      </c>
      <c r="F16" s="462"/>
      <c r="G16" s="298" t="str">
        <f>E16</f>
        <v>Wp</v>
      </c>
      <c r="H16" s="490"/>
      <c r="I16"/>
    </row>
    <row r="17" spans="1:9" s="16" customFormat="1" ht="19.899999999999999" hidden="1" customHeight="1" x14ac:dyDescent="0.25">
      <c r="A17" s="261"/>
      <c r="B17" s="437"/>
      <c r="C17" s="437" t="str">
        <f>Basisdaten!B24</f>
        <v>Leistungsgarantie % nach 25 J.</v>
      </c>
      <c r="D17" s="463">
        <f>IF(ISNUMBER(F17),F17,VLOOKUP(C17,Basisdaten!B:E,3,FALSE))</f>
        <v>90.708333333333329</v>
      </c>
      <c r="E17" s="464" t="str">
        <f>VLOOKUP(C17,Basisdaten!B:E,4,FALSE)</f>
        <v>%/25J</v>
      </c>
      <c r="F17" s="462"/>
      <c r="G17" s="464" t="str">
        <f>E17</f>
        <v>%/25J</v>
      </c>
      <c r="H17" s="496"/>
      <c r="I17" s="14"/>
    </row>
    <row r="18" spans="1:9" s="16" customFormat="1" ht="19.899999999999999" hidden="1" customHeight="1" x14ac:dyDescent="0.25">
      <c r="A18" s="261"/>
      <c r="B18" s="437"/>
      <c r="C18" s="437" t="s">
        <v>7</v>
      </c>
      <c r="D18" s="465" cm="1">
        <f t="array" ref="D18">(100-_Degradation_Standard)/25</f>
        <v>0.37166666666666687</v>
      </c>
      <c r="E18" s="14" t="s">
        <v>8</v>
      </c>
      <c r="F18" s="462"/>
      <c r="G18" s="464" t="str">
        <f t="shared" ref="G18" si="0">E18</f>
        <v>% / Jahr</v>
      </c>
      <c r="H18" s="496"/>
      <c r="I18" s="466"/>
    </row>
    <row r="19" spans="1:9" s="16" customFormat="1" ht="19.899999999999999" customHeight="1" x14ac:dyDescent="0.25">
      <c r="A19" s="260"/>
      <c r="B19" s="297"/>
      <c r="C19" s="297" t="str">
        <f>Basisdaten!B25</f>
        <v>Länge</v>
      </c>
      <c r="D19" s="467">
        <f>IF(ISNUMBER(F19),F19,VLOOKUP(C19,Basisdaten!B:E,3,FALSE))</f>
        <v>1.762</v>
      </c>
      <c r="E19" s="298" t="str">
        <f>VLOOKUP(C19,Basisdaten!B:E,4,FALSE)</f>
        <v>m</v>
      </c>
      <c r="F19" s="462"/>
      <c r="G19" s="298" t="str">
        <f>E19</f>
        <v>m</v>
      </c>
      <c r="H19" s="490"/>
      <c r="I19"/>
    </row>
    <row r="20" spans="1:9" s="16" customFormat="1" ht="19.899999999999999" customHeight="1" x14ac:dyDescent="0.25">
      <c r="A20" s="260"/>
      <c r="B20" s="372"/>
      <c r="C20" s="372" t="str">
        <f>Basisdaten!B26</f>
        <v>Breite</v>
      </c>
      <c r="D20" s="468">
        <f>IF(ISNUMBER(F20),F20,VLOOKUP(C20,Basisdaten!B:E,3,FALSE))</f>
        <v>1.1339999999999999</v>
      </c>
      <c r="E20" s="373" t="str">
        <f>VLOOKUP(C20,Basisdaten!B:E,4,FALSE)</f>
        <v>m</v>
      </c>
      <c r="F20" s="469"/>
      <c r="G20" s="373" t="str">
        <f>E20</f>
        <v>m</v>
      </c>
      <c r="H20" s="490"/>
      <c r="I20"/>
    </row>
    <row r="21" spans="1:9" x14ac:dyDescent="0.2">
      <c r="H21" s="490"/>
    </row>
    <row r="22" spans="1:9" s="286" customFormat="1" ht="17.25" x14ac:dyDescent="0.25">
      <c r="A22" s="506"/>
      <c r="B22" s="679" t="s">
        <v>235</v>
      </c>
      <c r="C22" s="679"/>
      <c r="D22" s="679"/>
      <c r="H22" s="490" t="str">
        <f>"(Referenz: "&amp;_Bez_Modul_Blendarm&amp;")"</f>
        <v>(Referenz: DB_EN_SoliTek_BLACKSTAR_Satin_445W)</v>
      </c>
    </row>
    <row r="23" spans="1:9" s="38" customFormat="1" ht="19.899999999999999" customHeight="1" x14ac:dyDescent="0.25">
      <c r="A23" s="507"/>
      <c r="B23" s="398"/>
      <c r="C23" s="398"/>
      <c r="D23" s="690" t="s">
        <v>70</v>
      </c>
      <c r="E23" s="691"/>
      <c r="F23" s="681" t="s">
        <v>86</v>
      </c>
      <c r="G23" s="682"/>
      <c r="H23" s="490"/>
      <c r="I23"/>
    </row>
    <row r="24" spans="1:9" s="21" customFormat="1" ht="19.899999999999999" hidden="1" customHeight="1" x14ac:dyDescent="0.25">
      <c r="A24" s="261"/>
      <c r="B24" s="455"/>
      <c r="C24" s="455" t="str">
        <f>Basisdaten!B30</f>
        <v>Modulbezeichnung (blendarm)</v>
      </c>
      <c r="D24" s="470" t="str">
        <f>IF(ISNUMBER(F24),F24,VLOOKUP(C24,Basisdaten!B:E,3,FALSE))</f>
        <v>DB_EN_SoliTek_BLACKSTAR_Satin_445W</v>
      </c>
      <c r="E24" s="471"/>
      <c r="F24" s="458"/>
      <c r="G24" s="471"/>
      <c r="H24" s="496"/>
      <c r="I24" s="14"/>
    </row>
    <row r="25" spans="1:9" s="16" customFormat="1" ht="19.899999999999999" customHeight="1" x14ac:dyDescent="0.25">
      <c r="A25" s="260"/>
      <c r="B25" s="297"/>
      <c r="C25" s="297" t="str">
        <f>Basisdaten!B31</f>
        <v>Modulleistung (blendarm)</v>
      </c>
      <c r="D25" s="461">
        <f>IF(ISNUMBER(F25),F25,VLOOKUP(C25,Basisdaten!B:E,3,FALSE))</f>
        <v>455</v>
      </c>
      <c r="E25" s="298" t="str">
        <f>VLOOKUP(C25,Basisdaten!B:E,4,FALSE)</f>
        <v>Wp</v>
      </c>
      <c r="F25" s="462"/>
      <c r="G25" s="298" t="str">
        <f>E25</f>
        <v>Wp</v>
      </c>
      <c r="H25" s="490"/>
      <c r="I25"/>
    </row>
    <row r="26" spans="1:9" s="16" customFormat="1" ht="19.899999999999999" customHeight="1" x14ac:dyDescent="0.25">
      <c r="A26" s="260"/>
      <c r="B26" s="297"/>
      <c r="C26" s="297" t="str">
        <f>Basisdaten!B34</f>
        <v>Länge (blendarm)</v>
      </c>
      <c r="D26" s="467">
        <f>IF(ISNUMBER(F26),F26,VLOOKUP(C26,Basisdaten!B:E,3,FALSE))</f>
        <v>1.762</v>
      </c>
      <c r="E26" s="298" t="str">
        <f>VLOOKUP(C26,Basisdaten!B:E,4,FALSE)</f>
        <v>m</v>
      </c>
      <c r="F26" s="462"/>
      <c r="G26" s="298" t="str">
        <f>E26</f>
        <v>m</v>
      </c>
      <c r="H26" s="490"/>
      <c r="I26"/>
    </row>
    <row r="27" spans="1:9" s="16" customFormat="1" ht="19.899999999999999" customHeight="1" x14ac:dyDescent="0.25">
      <c r="A27" s="260"/>
      <c r="B27" s="372"/>
      <c r="C27" s="372" t="str">
        <f>Basisdaten!B35</f>
        <v>Breite (blendarm)</v>
      </c>
      <c r="D27" s="468">
        <f>IF(ISNUMBER(F27),F27,VLOOKUP(C27,Basisdaten!B:E,3,FALSE))</f>
        <v>1.1339999999999999</v>
      </c>
      <c r="E27" s="373" t="str">
        <f>VLOOKUP(C27,Basisdaten!B:E,4,FALSE)</f>
        <v>m</v>
      </c>
      <c r="F27" s="469"/>
      <c r="G27" s="373" t="str">
        <f>E27</f>
        <v>m</v>
      </c>
      <c r="H27" s="490"/>
      <c r="I27"/>
    </row>
    <row r="28" spans="1:9" x14ac:dyDescent="0.2">
      <c r="H28" s="490"/>
    </row>
    <row r="29" spans="1:9" s="286" customFormat="1" ht="17.25" x14ac:dyDescent="0.25">
      <c r="A29" s="506"/>
      <c r="B29" s="679" t="str">
        <f>IF(_MWSt_pflichtig,"Tarif / Energieversorger (exkl. MWSt.)","Tarif / Energieversorger (inkl. MWSt.)")</f>
        <v>Tarif / Energieversorger (inkl. MWSt.)</v>
      </c>
      <c r="C29" s="679"/>
      <c r="D29" s="679"/>
      <c r="H29" s="489"/>
    </row>
    <row r="30" spans="1:9" s="16" customFormat="1" ht="19.899999999999999" customHeight="1" x14ac:dyDescent="0.25">
      <c r="A30" s="260"/>
      <c r="B30" s="295"/>
      <c r="C30" s="295" t="str">
        <f>Basisdaten!B49</f>
        <v>Netzversorger</v>
      </c>
      <c r="D30" s="697" t="str">
        <f>IF(_Netzversorger=0,"In Tab 3 'Bericht' definieren")</f>
        <v>In Tab 3 'Bericht' definieren</v>
      </c>
      <c r="E30" s="698"/>
      <c r="F30" s="436"/>
      <c r="G30"/>
      <c r="H30" s="490"/>
      <c r="I30"/>
    </row>
    <row r="31" spans="1:9" s="16" customFormat="1" ht="19.899999999999999" customHeight="1" x14ac:dyDescent="0.25">
      <c r="A31" s="260"/>
      <c r="B31" s="297"/>
      <c r="C31" s="297" t="str">
        <f>Basisdaten!B51</f>
        <v>Rückliefertarif</v>
      </c>
      <c r="D31" s="472" t="str">
        <f>IFERROR(_MWSt_Faktor*VLOOKUP(C31,Basisdaten!B:E,3,FALSE),"")</f>
        <v/>
      </c>
      <c r="E31" s="298" t="str">
        <f>VLOOKUP(C31,Basisdaten!B:E,4,FALSE)</f>
        <v>Rp./kWh</v>
      </c>
      <c r="F31" s="473"/>
      <c r="G31"/>
      <c r="H31" s="490" t="str">
        <f>IFERROR(D30&amp;" "&amp;VLOOKUP(C31,Basisdaten!B:F,5,FALSE),"")</f>
        <v/>
      </c>
      <c r="I31"/>
    </row>
    <row r="32" spans="1:9" s="16" customFormat="1" ht="19.899999999999999" customHeight="1" x14ac:dyDescent="0.25">
      <c r="A32" s="260"/>
      <c r="B32" s="297"/>
      <c r="C32" s="297" t="str">
        <f>Basisdaten!B52</f>
        <v>HKN</v>
      </c>
      <c r="D32" s="472" t="str">
        <f ca="1">IFERROR(IF(_Anlageleistung_g.Min.&lt;=D33,_MWSt_Faktor*VLOOKUP(C32,Basisdaten!B:E,3,FALSE),""),"")</f>
        <v/>
      </c>
      <c r="E32" s="298" t="s">
        <v>32</v>
      </c>
      <c r="F32" s="436"/>
      <c r="G32"/>
      <c r="H32" s="490" t="e">
        <f>VLOOKUP(C32,Basisdaten!B:F,5,FALSE)</f>
        <v>#N/A</v>
      </c>
      <c r="I32"/>
    </row>
    <row r="33" spans="1:12" s="16" customFormat="1" ht="19.899999999999999" hidden="1" customHeight="1" x14ac:dyDescent="0.25">
      <c r="A33" s="261"/>
      <c r="B33" s="437"/>
      <c r="C33" s="437" t="str">
        <f>Basisdaten!B53</f>
        <v>HKN Tarif Schwellwert</v>
      </c>
      <c r="D33" s="465" t="e">
        <f>IF(ISNUMBER(F33),F33,VLOOKUP(C33,Basisdaten!B:E,3,FALSE))</f>
        <v>#N/A</v>
      </c>
      <c r="E33" s="464" t="s">
        <v>135</v>
      </c>
      <c r="F33" s="474"/>
      <c r="G33" s="14"/>
      <c r="H33" s="496" t="e">
        <f>VLOOKUP(C33,Basisdaten!B:F,5,FALSE)</f>
        <v>#N/A</v>
      </c>
      <c r="I33" s="14"/>
    </row>
    <row r="34" spans="1:12" s="16" customFormat="1" ht="19.899999999999999" customHeight="1" x14ac:dyDescent="0.25">
      <c r="A34" s="260"/>
      <c r="B34" s="297"/>
      <c r="C34" s="297" t="str">
        <f>Basisdaten!B54</f>
        <v xml:space="preserve">HKN </v>
      </c>
      <c r="D34" s="472" t="str">
        <f ca="1">IFERROR(IF(_Anlageleistung_g.Min.&gt;D33,_MWSt_Faktor*VLOOKUP(C34,Basisdaten!B:E,3,FALSE),""),"")</f>
        <v/>
      </c>
      <c r="E34" s="298" t="s">
        <v>32</v>
      </c>
      <c r="F34" s="436"/>
      <c r="G34"/>
      <c r="H34" s="490" t="e">
        <f>VLOOKUP(C34,Basisdaten!B:F,5,FALSE)</f>
        <v>#N/A</v>
      </c>
      <c r="I34"/>
    </row>
    <row r="35" spans="1:12" s="16" customFormat="1" ht="19.899999999999999" customHeight="1" x14ac:dyDescent="0.25">
      <c r="A35" s="260"/>
      <c r="B35" s="475"/>
      <c r="C35" s="475" t="s">
        <v>107</v>
      </c>
      <c r="D35" s="476">
        <f ca="1">SUM(D31,D32,D34)</f>
        <v>0</v>
      </c>
      <c r="E35" s="477" t="s">
        <v>32</v>
      </c>
      <c r="F35" s="436"/>
      <c r="G35"/>
      <c r="H35" s="490"/>
      <c r="I35"/>
    </row>
    <row r="36" spans="1:12" s="16" customFormat="1" ht="19.899999999999999" customHeight="1" x14ac:dyDescent="0.25">
      <c r="A36" s="260"/>
      <c r="B36" s="297"/>
      <c r="C36" s="297" t="str">
        <f>Basisdaten!B56</f>
        <v>Energiebezug EVU</v>
      </c>
      <c r="D36" s="472" t="str">
        <f>IFERROR(_MWSt_Faktor*VLOOKUP(C36,Basisdaten!B:E,3,FALSE),"")</f>
        <v/>
      </c>
      <c r="E36" s="298" t="s">
        <v>32</v>
      </c>
      <c r="F36" s="473"/>
      <c r="G36"/>
      <c r="H36" s="490" t="str">
        <f>IFERROR(D30&amp;" "&amp;VLOOKUP(C36,Basisdaten!B:F,5,FALSE),"")</f>
        <v/>
      </c>
      <c r="I36" s="36"/>
    </row>
    <row r="37" spans="1:12" s="16" customFormat="1" ht="19.899999999999999" customHeight="1" x14ac:dyDescent="0.25">
      <c r="A37" s="260"/>
      <c r="B37" s="297"/>
      <c r="C37" s="297" t="str">
        <f>Basisdaten!B57</f>
        <v>Netznutzung EVU</v>
      </c>
      <c r="D37" s="472" t="str">
        <f>IFERROR(_MWSt_Faktor*VLOOKUP(C37,Basisdaten!B:E,3,FALSE),"")</f>
        <v/>
      </c>
      <c r="E37" s="298" t="s">
        <v>32</v>
      </c>
      <c r="F37" s="436"/>
      <c r="G37"/>
      <c r="H37" s="490"/>
      <c r="I37"/>
    </row>
    <row r="38" spans="1:12" s="16" customFormat="1" ht="19.899999999999999" customHeight="1" x14ac:dyDescent="0.25">
      <c r="A38" s="260"/>
      <c r="B38" s="297"/>
      <c r="C38" s="297" t="str">
        <f>Basisdaten!B58</f>
        <v>Systemdienstleistung</v>
      </c>
      <c r="D38" s="472" t="str">
        <f>IFERROR(_MWSt_Faktor*VLOOKUP(C38,Basisdaten!B:E,3,FALSE),"")</f>
        <v/>
      </c>
      <c r="E38" s="298" t="s">
        <v>32</v>
      </c>
      <c r="F38" s="436"/>
      <c r="G38"/>
      <c r="H38" s="490"/>
      <c r="I38"/>
    </row>
    <row r="39" spans="1:12" s="16" customFormat="1" ht="19.899999999999999" customHeight="1" x14ac:dyDescent="0.25">
      <c r="A39" s="260"/>
      <c r="B39" s="297"/>
      <c r="C39" s="297" t="str">
        <f>Basisdaten!B59</f>
        <v>Gemeindeabgaben + Stromreserve</v>
      </c>
      <c r="D39" s="472" t="str">
        <f>IFERROR(_MWSt_Faktor*VLOOKUP(C39,Basisdaten!B:E,3,FALSE),"")</f>
        <v/>
      </c>
      <c r="E39" s="298" t="s">
        <v>32</v>
      </c>
      <c r="F39" s="436"/>
      <c r="G39"/>
      <c r="H39" s="490"/>
      <c r="I39"/>
    </row>
    <row r="40" spans="1:12" s="16" customFormat="1" ht="19.899999999999999" customHeight="1" x14ac:dyDescent="0.25">
      <c r="A40" s="260"/>
      <c r="B40" s="297"/>
      <c r="C40" s="297" t="str">
        <f>Basisdaten!B60</f>
        <v>KEV Abgabe</v>
      </c>
      <c r="D40" s="472" t="str">
        <f>IFERROR(_MWSt_Faktor*VLOOKUP(C40,Basisdaten!B:E,3,FALSE),"")</f>
        <v/>
      </c>
      <c r="E40" s="298" t="s">
        <v>32</v>
      </c>
      <c r="F40" s="436"/>
      <c r="G40"/>
      <c r="H40" s="490"/>
      <c r="I40"/>
    </row>
    <row r="41" spans="1:12" s="16" customFormat="1" ht="19.899999999999999" customHeight="1" x14ac:dyDescent="0.25">
      <c r="A41" s="260"/>
      <c r="B41" s="478"/>
      <c r="C41" s="478" t="s">
        <v>56</v>
      </c>
      <c r="D41" s="479">
        <f>SUM(D36:D40)</f>
        <v>0</v>
      </c>
      <c r="E41" s="480" t="s">
        <v>32</v>
      </c>
      <c r="F41" s="436"/>
      <c r="G41"/>
      <c r="H41" s="490"/>
      <c r="I41"/>
    </row>
    <row r="42" spans="1:12" x14ac:dyDescent="0.2">
      <c r="H42" s="490"/>
    </row>
    <row r="43" spans="1:12" s="286" customFormat="1" ht="17.25" x14ac:dyDescent="0.25">
      <c r="A43" s="506"/>
      <c r="B43" s="679" t="str">
        <f>IF(_MWSt_pflichtig,"Wirtschaftlichkeit (inkl. MWSt.)","Wirtschaftlichkeit (exkl. MWSt.)")</f>
        <v>Wirtschaftlichkeit (exkl. MWSt.)</v>
      </c>
      <c r="C43" s="679"/>
      <c r="D43" s="679"/>
      <c r="H43" s="489"/>
    </row>
    <row r="44" spans="1:12" s="38" customFormat="1" ht="19.899999999999999" customHeight="1" x14ac:dyDescent="0.25">
      <c r="A44" s="507"/>
      <c r="B44" s="398"/>
      <c r="C44" s="398"/>
      <c r="D44" s="702" t="s">
        <v>70</v>
      </c>
      <c r="E44" s="703"/>
      <c r="F44" s="704"/>
      <c r="G44" s="705"/>
      <c r="H44" s="490"/>
      <c r="I44"/>
    </row>
    <row r="45" spans="1:12" s="16" customFormat="1" ht="19.899999999999999" customHeight="1" x14ac:dyDescent="0.25">
      <c r="A45" s="260"/>
      <c r="B45" s="297"/>
      <c r="C45" s="297" t="str">
        <f>Basisdaten!B69</f>
        <v>Zulässige Amortisationszeit</v>
      </c>
      <c r="D45" s="481">
        <f>VLOOKUP(C45,Basisdaten!B:E,3,FALSE)</f>
        <v>20</v>
      </c>
      <c r="E45" s="298" t="str">
        <f>VLOOKUP(C45,Basisdaten!B:E,4,FALSE)</f>
        <v>Jahre</v>
      </c>
      <c r="F45" s="436"/>
      <c r="G45"/>
      <c r="H45" s="490" t="str">
        <f>VLOOKUP(C45,Basisdaten!B:F,5,FALSE)</f>
        <v>Gesetzgeber</v>
      </c>
      <c r="I45" s="36"/>
    </row>
    <row r="46" spans="1:12" s="16" customFormat="1" ht="19.899999999999999" customHeight="1" x14ac:dyDescent="0.25">
      <c r="A46" s="260"/>
      <c r="B46" s="372"/>
      <c r="C46" s="372" t="str">
        <f>Basisdaten!B70</f>
        <v>Kapitalverzinsung</v>
      </c>
      <c r="D46" s="482">
        <f>VLOOKUP(C46,Basisdaten!B:E,3,FALSE)</f>
        <v>1.25</v>
      </c>
      <c r="E46" s="373" t="str">
        <f>VLOOKUP(C46,Basisdaten!B:E,4,FALSE)</f>
        <v>%</v>
      </c>
      <c r="F46" s="436"/>
      <c r="G46"/>
      <c r="H46" s="490" t="str">
        <f>VLOOKUP(C46,Basisdaten!B:F,5,FALSE)</f>
        <v>Referenzzinssatz Stand 1.7.2026</v>
      </c>
      <c r="I46" s="36"/>
    </row>
    <row r="47" spans="1:12" x14ac:dyDescent="0.2">
      <c r="H47" s="490"/>
    </row>
    <row r="48" spans="1:12" s="286" customFormat="1" ht="17.25" x14ac:dyDescent="0.25">
      <c r="A48" s="506"/>
      <c r="B48" s="679" t="str">
        <f>IF(_MWSt_pflichtig,"Anlagekosten (exkl. MWSt.)","Anlagekosten (inkl. MWSt.)")</f>
        <v>Anlagekosten (inkl. MWSt.)</v>
      </c>
      <c r="C48" s="679"/>
      <c r="D48" s="679"/>
      <c r="E48" s="433"/>
      <c r="H48" s="489"/>
      <c r="L48" s="434"/>
    </row>
    <row r="49" spans="1:12" s="16" customFormat="1" ht="19.899999999999999" customHeight="1" x14ac:dyDescent="0.25">
      <c r="A49" s="260"/>
      <c r="B49" s="295"/>
      <c r="C49" s="295" t="s">
        <v>110</v>
      </c>
      <c r="D49" s="699" t="s">
        <v>383</v>
      </c>
      <c r="E49" s="700"/>
      <c r="F49" s="701" t="s">
        <v>384</v>
      </c>
      <c r="G49" s="701"/>
      <c r="H49" s="491"/>
      <c r="I49"/>
      <c r="L49" s="68"/>
    </row>
    <row r="50" spans="1:12" s="16" customFormat="1" ht="19.899999999999999" customHeight="1" x14ac:dyDescent="0.25">
      <c r="A50" s="260"/>
      <c r="B50" s="303"/>
      <c r="C50" s="303" t="s">
        <v>109</v>
      </c>
      <c r="D50" s="483">
        <f ca="1">_Anlageleistung_t.Vb.</f>
        <v>0</v>
      </c>
      <c r="E50" s="299" t="s">
        <v>102</v>
      </c>
      <c r="F50" s="483">
        <f ca="1">_Anlageleistung_g.Min.</f>
        <v>0</v>
      </c>
      <c r="G50" s="299" t="s">
        <v>102</v>
      </c>
      <c r="H50" s="491"/>
      <c r="I50"/>
    </row>
    <row r="51" spans="1:12" s="16" customFormat="1" ht="19.899999999999999" customHeight="1" x14ac:dyDescent="0.25">
      <c r="A51" s="260"/>
      <c r="B51" s="297"/>
      <c r="C51" s="297" t="str">
        <f>IF(_MWSt_pflichtig,"Referenzkosten PV (inkl. MWSt.)","Referenzkosten PV (exkl. MWSt.)")</f>
        <v>Referenzkosten PV (exkl. MWSt.)</v>
      </c>
      <c r="D51" s="484">
        <f ca="1">IFERROR(_Referenzkosten_t.Vb._exkl*_MWSt_Faktor,0)</f>
        <v>0</v>
      </c>
      <c r="E51" s="298" t="s">
        <v>52</v>
      </c>
      <c r="F51" s="484">
        <f ca="1">IFERROR(_Referenzkosten_g.Min._exkl*_MWSt_Faktor,0)</f>
        <v>0</v>
      </c>
      <c r="G51" s="298" t="s">
        <v>52</v>
      </c>
      <c r="H51" s="490"/>
      <c r="I51"/>
    </row>
    <row r="52" spans="1:12" s="16" customFormat="1" ht="19.899999999999999" customHeight="1" x14ac:dyDescent="0.25">
      <c r="A52" s="260"/>
      <c r="B52" s="372"/>
      <c r="C52" s="372" t="s">
        <v>265</v>
      </c>
      <c r="D52" s="485">
        <f>_Aufpreis_Blendarm</f>
        <v>97.020000000000024</v>
      </c>
      <c r="E52" s="373" t="s">
        <v>111</v>
      </c>
      <c r="F52" s="485">
        <f>_Aufpreis_Blendarm</f>
        <v>97.020000000000024</v>
      </c>
      <c r="G52" s="373" t="s">
        <v>111</v>
      </c>
      <c r="H52" s="497"/>
      <c r="I52"/>
    </row>
    <row r="53" spans="1:12" x14ac:dyDescent="0.2">
      <c r="H53" s="490"/>
    </row>
    <row r="54" spans="1:12" s="286" customFormat="1" ht="17.25" x14ac:dyDescent="0.25">
      <c r="A54" s="506"/>
      <c r="B54" s="286" t="str">
        <f>"Förderung "&amp;Basisdaten!B115&amp;" "&amp;TEXT(Basisdaten!D115,"TT.MM.JJ")</f>
        <v>Förderung gültig bei IBS ab 01.04.25</v>
      </c>
      <c r="H54" s="489"/>
      <c r="L54" s="434"/>
    </row>
    <row r="55" spans="1:12" s="16" customFormat="1" ht="19.899999999999999" customHeight="1" x14ac:dyDescent="0.25">
      <c r="A55" s="260"/>
      <c r="B55" s="295"/>
      <c r="C55" s="295" t="s">
        <v>110</v>
      </c>
      <c r="D55" s="699" t="s">
        <v>287</v>
      </c>
      <c r="E55" s="700"/>
      <c r="F55" s="701" t="s">
        <v>286</v>
      </c>
      <c r="G55" s="701"/>
      <c r="H55" s="491"/>
      <c r="I55"/>
      <c r="L55" s="68"/>
    </row>
    <row r="56" spans="1:12" s="16" customFormat="1" ht="19.899999999999999" customHeight="1" x14ac:dyDescent="0.25">
      <c r="A56" s="260"/>
      <c r="B56" s="297"/>
      <c r="C56" s="297" t="s">
        <v>432</v>
      </c>
      <c r="D56" s="484">
        <f ca="1">_EIV_t.Vb.</f>
        <v>0</v>
      </c>
      <c r="E56" s="298" t="s">
        <v>31</v>
      </c>
      <c r="F56" s="484">
        <f ca="1">_EIV_g.Min.</f>
        <v>0</v>
      </c>
      <c r="G56" s="298" t="s">
        <v>31</v>
      </c>
      <c r="H56" s="696" t="s">
        <v>232</v>
      </c>
      <c r="I56"/>
    </row>
    <row r="57" spans="1:12" s="16" customFormat="1" ht="19.899999999999999" customHeight="1" x14ac:dyDescent="0.25">
      <c r="A57" s="260"/>
      <c r="B57" s="304"/>
      <c r="C57" s="304" t="s">
        <v>89</v>
      </c>
      <c r="D57" s="486">
        <f>_EIV_t_auszahlung</f>
        <v>1</v>
      </c>
      <c r="E57" s="300" t="s">
        <v>38</v>
      </c>
      <c r="F57" s="487">
        <f>_EIV_t_auszahlung</f>
        <v>1</v>
      </c>
      <c r="G57" s="300" t="s">
        <v>38</v>
      </c>
      <c r="H57" s="696"/>
      <c r="I57"/>
    </row>
    <row r="58" spans="1:12" s="16" customFormat="1" ht="19.899999999999999" customHeight="1" x14ac:dyDescent="0.25">
      <c r="A58" s="260"/>
      <c r="B58" s="297"/>
      <c r="C58" s="297" t="s">
        <v>178</v>
      </c>
      <c r="D58" s="484">
        <f ca="1">_EIV_t.Vb.*_EF_Ansatz/100</f>
        <v>0</v>
      </c>
      <c r="E58" s="298" t="s">
        <v>31</v>
      </c>
      <c r="F58" s="484">
        <f ca="1">_EIV_g.Min.*_EF_Ansatz/100</f>
        <v>0</v>
      </c>
      <c r="G58" s="298" t="s">
        <v>31</v>
      </c>
      <c r="H58" s="696" t="str">
        <f>"Einmalverg. durch Stadt Luzern ("&amp;_EF_Ansatz&amp;"% der EIV Leistung)"</f>
        <v>Einmalverg. durch Stadt Luzern (20% der EIV Leistung)</v>
      </c>
      <c r="I58"/>
    </row>
    <row r="59" spans="1:12" s="16" customFormat="1" ht="19.899999999999999" customHeight="1" x14ac:dyDescent="0.25">
      <c r="A59" s="260"/>
      <c r="B59" s="372"/>
      <c r="C59" s="372" t="s">
        <v>89</v>
      </c>
      <c r="D59" s="485">
        <f>_EF_t</f>
        <v>1</v>
      </c>
      <c r="E59" s="373" t="s">
        <v>38</v>
      </c>
      <c r="F59" s="488">
        <f>_EF_t</f>
        <v>1</v>
      </c>
      <c r="G59" s="373" t="s">
        <v>38</v>
      </c>
      <c r="H59" s="696"/>
      <c r="I59"/>
    </row>
    <row r="60" spans="1:12" x14ac:dyDescent="0.2"/>
    <row r="61" spans="1:12" x14ac:dyDescent="0.2"/>
    <row r="62" spans="1:12" x14ac:dyDescent="0.2"/>
    <row r="63" spans="1:12" x14ac:dyDescent="0.2"/>
    <row r="64" spans="1:12"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sheetData>
  <sheetProtection algorithmName="SHA-512" hashValue="M6b4BXB7jMr9muSTlSiJ36cCKcdcHiOdeKdTOlL1WBpOZEL3Ttt8siOICw45mwMJjHUqPbB3U10cFESe7iHoAw==" saltValue="Bs82PavBR5PEieldaYgg3Q==" spinCount="100000" sheet="1" objects="1" scenarios="1" selectLockedCells="1" autoFilter="0"/>
  <mergeCells count="31">
    <mergeCell ref="H56:H57"/>
    <mergeCell ref="H58:H59"/>
    <mergeCell ref="B22:D22"/>
    <mergeCell ref="B29:D29"/>
    <mergeCell ref="B43:D43"/>
    <mergeCell ref="B48:D48"/>
    <mergeCell ref="D30:E30"/>
    <mergeCell ref="D55:E55"/>
    <mergeCell ref="F55:G55"/>
    <mergeCell ref="D44:E44"/>
    <mergeCell ref="F44:G44"/>
    <mergeCell ref="D49:E49"/>
    <mergeCell ref="F49:G49"/>
    <mergeCell ref="D23:E23"/>
    <mergeCell ref="F23:G23"/>
    <mergeCell ref="B1:D1"/>
    <mergeCell ref="F7:G7"/>
    <mergeCell ref="B2:C2"/>
    <mergeCell ref="B3:C3"/>
    <mergeCell ref="B4:C4"/>
    <mergeCell ref="D7:E7"/>
    <mergeCell ref="D2:F2"/>
    <mergeCell ref="D3:F3"/>
    <mergeCell ref="D4:F4"/>
    <mergeCell ref="D14:E14"/>
    <mergeCell ref="B13:D13"/>
    <mergeCell ref="B6:D6"/>
    <mergeCell ref="M8:N8"/>
    <mergeCell ref="M9:N9"/>
    <mergeCell ref="F14:G14"/>
    <mergeCell ref="M11:N11"/>
  </mergeCells>
  <conditionalFormatting sqref="C32:H32 H32:H34">
    <cfRule type="expression" dxfId="50" priority="3">
      <formula>$D$33=0</formula>
    </cfRule>
  </conditionalFormatting>
  <conditionalFormatting sqref="C32:H32">
    <cfRule type="expression" dxfId="49" priority="1">
      <formula>$D$32=""</formula>
    </cfRule>
  </conditionalFormatting>
  <conditionalFormatting sqref="C34:H34">
    <cfRule type="expression" dxfId="48" priority="2">
      <formula>$D$34=""</formula>
    </cfRule>
  </conditionalFormatting>
  <dataValidations count="1">
    <dataValidation type="list" allowBlank="1" showInputMessage="1" showErrorMessage="1" sqref="G10" xr:uid="{00000000-0002-0000-0200-000000000000}">
      <formula1>$E$8:$E$9</formula1>
    </dataValidation>
  </dataValidations>
  <pageMargins left="0.55118110236220474" right="0.51181102362204722" top="0.74803149606299213" bottom="0.70866141732283472" header="0.31496062992125984" footer="0.31496062992125984"/>
  <pageSetup paperSize="9" scale="65" fitToHeight="0" orientation="portrait" r:id="rId1"/>
  <headerFooter>
    <oddHeader xml:space="preserve">&amp;L&amp;8         Planungshilfe Nachweis wirtschaftliche Unverhältnismässigkeit&amp;R&amp;8Stadt Luzern </oddHeader>
    <oddFooter xml:space="preserve">&amp;L&amp;8         &amp;P | &amp;N&amp;R&amp;8Nächste Revision 12.12.2026 </oddFooter>
    <firstHeader>&amp;L&amp;G</first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29FC3-DB7D-48B8-921D-EC9CD19F1F8F}">
  <sheetPr codeName="Tabelle13">
    <pageSetUpPr fitToPage="1"/>
  </sheetPr>
  <dimension ref="A1:R975"/>
  <sheetViews>
    <sheetView showGridLines="0" view="pageLayout" topLeftCell="A10" zoomScaleNormal="100" zoomScaleSheetLayoutView="100" workbookViewId="0">
      <selection activeCell="E22" sqref="E22:F22"/>
    </sheetView>
  </sheetViews>
  <sheetFormatPr baseColWidth="10" defaultColWidth="0" defaultRowHeight="0" customHeight="1" zeroHeight="1" x14ac:dyDescent="0.2"/>
  <cols>
    <col min="1" max="1" width="3.5703125" style="257" customWidth="1"/>
    <col min="2" max="2" width="8.28515625" customWidth="1"/>
    <col min="3" max="3" width="25.5703125" customWidth="1"/>
    <col min="4" max="4" width="24.140625" style="14" hidden="1" customWidth="1"/>
    <col min="5" max="5" width="15" customWidth="1"/>
    <col min="6" max="6" width="17.5703125" customWidth="1"/>
    <col min="7" max="8" width="14.28515625" customWidth="1"/>
    <col min="9" max="10" width="11.42578125" customWidth="1"/>
    <col min="11" max="11" width="18.42578125" customWidth="1"/>
    <col min="12" max="12" width="6" customWidth="1"/>
    <col min="13" max="13" width="34.28515625" hidden="1" customWidth="1"/>
    <col min="14" max="18" width="0" hidden="1" customWidth="1"/>
    <col min="19" max="16384" width="11.42578125" hidden="1"/>
  </cols>
  <sheetData>
    <row r="1" spans="1:18" ht="12.75" hidden="1" x14ac:dyDescent="0.2">
      <c r="A1" s="262"/>
      <c r="B1" s="14" t="str">
        <f ca="1">MID(CELL("dateiname",B2),SEARCH("]",CELL("dateiname",B2))+1,31)</f>
        <v>Dachfläche (1)</v>
      </c>
      <c r="C1" s="14"/>
      <c r="E1" s="14"/>
      <c r="F1" s="14"/>
      <c r="G1" s="14"/>
      <c r="H1" s="14"/>
      <c r="I1" s="14"/>
      <c r="J1" s="14"/>
      <c r="K1" s="14"/>
    </row>
    <row r="2" spans="1:18" s="12" customFormat="1" ht="21" customHeight="1" x14ac:dyDescent="0.3">
      <c r="A2" s="259"/>
      <c r="B2" s="713" t="str">
        <f t="shared" ref="B2" ca="1" si="0">"Zusammenstellung Kennwerte "&amp;B1</f>
        <v>Zusammenstellung Kennwerte Dachfläche (1)</v>
      </c>
      <c r="C2" s="713"/>
      <c r="D2" s="713"/>
      <c r="E2" s="713"/>
      <c r="F2" s="713"/>
      <c r="G2" s="713"/>
      <c r="N2"/>
      <c r="O2"/>
      <c r="P2"/>
      <c r="Q2"/>
      <c r="R2"/>
    </row>
    <row r="3" spans="1:18" ht="12.75" x14ac:dyDescent="0.2"/>
    <row r="4" spans="1:18" s="12" customFormat="1" ht="20.25" x14ac:dyDescent="0.3">
      <c r="A4" s="259"/>
      <c r="B4" s="286" t="s">
        <v>26</v>
      </c>
      <c r="D4" s="150"/>
      <c r="N4"/>
      <c r="O4"/>
      <c r="P4"/>
      <c r="Q4"/>
      <c r="R4"/>
    </row>
    <row r="5" spans="1:18" s="16" customFormat="1" ht="19.899999999999999" customHeight="1" x14ac:dyDescent="0.25">
      <c r="A5" s="260"/>
      <c r="B5" s="684" t="str">
        <f>'3 Bericht'!B2</f>
        <v>Projektname</v>
      </c>
      <c r="C5" s="685"/>
      <c r="D5" s="509"/>
      <c r="E5" s="714">
        <f>_Projektname</f>
        <v>0</v>
      </c>
      <c r="F5" s="715"/>
      <c r="G5" s="575"/>
      <c r="H5" s="706" t="str">
        <f>'3 Bericht'!J2</f>
        <v>Netzversorger</v>
      </c>
      <c r="I5" s="707"/>
      <c r="J5" s="707"/>
      <c r="K5" s="510">
        <f>_Netzversorger</f>
        <v>0</v>
      </c>
    </row>
    <row r="6" spans="1:18" s="16" customFormat="1" ht="19.899999999999999" customHeight="1" x14ac:dyDescent="0.25">
      <c r="A6" s="260"/>
      <c r="B6" s="686" t="str">
        <f>'3 Bericht'!B3</f>
        <v>Adresse</v>
      </c>
      <c r="C6" s="687"/>
      <c r="D6" s="511"/>
      <c r="E6" s="694">
        <f>_Adresse</f>
        <v>0</v>
      </c>
      <c r="F6" s="695"/>
      <c r="G6" s="575"/>
      <c r="H6" s="708" t="str">
        <f>'3 Bericht'!J3</f>
        <v>Fertigstellung (geplant)</v>
      </c>
      <c r="I6" s="709"/>
      <c r="J6" s="709"/>
      <c r="K6" s="512">
        <f>_Datum_IBS</f>
        <v>0</v>
      </c>
    </row>
    <row r="7" spans="1:18" s="16" customFormat="1" ht="19.899999999999999" customHeight="1" x14ac:dyDescent="0.25">
      <c r="A7" s="260"/>
      <c r="B7" s="686" t="str">
        <f>'3 Bericht'!B4</f>
        <v>PLZ Ort</v>
      </c>
      <c r="C7" s="687"/>
      <c r="D7" s="511"/>
      <c r="E7" s="694">
        <f>_PLZ</f>
        <v>0</v>
      </c>
      <c r="F7" s="695"/>
      <c r="G7" s="575"/>
      <c r="H7" s="708" t="str">
        <f>'3 Bericht'!J5</f>
        <v>MWSt. pflichtig</v>
      </c>
      <c r="I7" s="709"/>
      <c r="J7" s="709"/>
      <c r="K7" s="513" t="str">
        <f>'3 Bericht'!M5</f>
        <v>Nein</v>
      </c>
    </row>
    <row r="8" spans="1:18" ht="12.75" x14ac:dyDescent="0.2"/>
    <row r="9" spans="1:18" s="12" customFormat="1" ht="20.25" x14ac:dyDescent="0.3">
      <c r="A9" s="259"/>
      <c r="B9" s="679" t="s">
        <v>66</v>
      </c>
      <c r="C9" s="679"/>
      <c r="D9" s="679"/>
      <c r="E9" s="679"/>
      <c r="M9" s="16"/>
      <c r="N9"/>
      <c r="O9"/>
      <c r="P9"/>
      <c r="Q9"/>
      <c r="R9"/>
    </row>
    <row r="10" spans="1:18" s="16" customFormat="1" ht="19.899999999999999" customHeight="1" x14ac:dyDescent="0.25">
      <c r="A10" s="260"/>
      <c r="B10" s="303" t="s">
        <v>80</v>
      </c>
      <c r="C10" s="303"/>
      <c r="D10" s="516" t="s">
        <v>113</v>
      </c>
      <c r="E10" s="716"/>
      <c r="F10" s="716"/>
      <c r="G10" s="517"/>
      <c r="H10" s="303"/>
      <c r="I10" s="303"/>
      <c r="J10" s="303"/>
      <c r="K10" s="303"/>
    </row>
    <row r="11" spans="1:18" s="16" customFormat="1" ht="19.899999999999999" customHeight="1" x14ac:dyDescent="0.25">
      <c r="A11" s="260"/>
      <c r="B11" s="710" t="s">
        <v>251</v>
      </c>
      <c r="C11" s="710"/>
      <c r="D11" s="516" t="s">
        <v>418</v>
      </c>
      <c r="E11" s="711"/>
      <c r="F11" s="712"/>
      <c r="G11" s="303" t="s">
        <v>541</v>
      </c>
      <c r="H11" s="303"/>
      <c r="I11" s="303"/>
      <c r="J11" s="303"/>
      <c r="K11" s="303"/>
    </row>
    <row r="12" spans="1:18" s="21" customFormat="1" ht="19.899999999999999" hidden="1" customHeight="1" x14ac:dyDescent="0.25">
      <c r="A12" s="261"/>
      <c r="B12" s="518"/>
      <c r="C12" s="518"/>
      <c r="D12" s="516" t="s">
        <v>270</v>
      </c>
      <c r="E12" s="519" t="str">
        <f>IFERROR(VLOOKUP(E11,Basisdaten!B151:C154,2,FALSE),"")</f>
        <v/>
      </c>
      <c r="F12" s="520"/>
      <c r="G12" s="516"/>
      <c r="H12" s="516"/>
      <c r="I12" s="516"/>
      <c r="J12" s="516"/>
      <c r="K12" s="516"/>
      <c r="L12" s="16"/>
    </row>
    <row r="13" spans="1:18" s="16" customFormat="1" ht="19.899999999999999" customHeight="1" x14ac:dyDescent="0.25">
      <c r="A13" s="260"/>
      <c r="B13" s="303" t="s">
        <v>278</v>
      </c>
      <c r="C13" s="303"/>
      <c r="D13" s="516" t="s">
        <v>100</v>
      </c>
      <c r="E13" s="521"/>
      <c r="F13" s="522" t="s">
        <v>542</v>
      </c>
      <c r="G13" s="303" t="s">
        <v>279</v>
      </c>
      <c r="H13" s="303"/>
      <c r="I13" s="303"/>
      <c r="J13" s="303"/>
      <c r="K13" s="303"/>
    </row>
    <row r="14" spans="1:18" s="16" customFormat="1" ht="19.899999999999999" customHeight="1" x14ac:dyDescent="0.25">
      <c r="A14" s="260"/>
      <c r="B14" s="297" t="str">
        <f>IF(OR(_Dach_Typ="Fdg",_Dach_Typ="Fd"),"Hauptausrichtung","Ausrichtung")</f>
        <v>Ausrichtung</v>
      </c>
      <c r="C14" s="297"/>
      <c r="D14" s="437" t="s">
        <v>34</v>
      </c>
      <c r="E14" s="523"/>
      <c r="F14" s="524" t="s">
        <v>46</v>
      </c>
      <c r="G14" s="297" t="s">
        <v>58</v>
      </c>
      <c r="H14" s="297"/>
      <c r="I14" s="297"/>
      <c r="J14" s="297"/>
      <c r="K14" s="297"/>
    </row>
    <row r="15" spans="1:18" s="16" customFormat="1" ht="19.899999999999999" customHeight="1" x14ac:dyDescent="0.25">
      <c r="A15" s="260"/>
      <c r="B15" s="297" t="str">
        <f>IF(OR(_Dach_Typ="Fdg",_Dach_Typ="Fd"),"Modulneigung","Dachneigung")</f>
        <v>Dachneigung</v>
      </c>
      <c r="C15" s="297"/>
      <c r="D15" s="437" t="s">
        <v>35</v>
      </c>
      <c r="E15" s="523"/>
      <c r="F15" s="524" t="s">
        <v>46</v>
      </c>
      <c r="G15" s="297" t="s">
        <v>59</v>
      </c>
      <c r="H15" s="297"/>
      <c r="I15" s="297"/>
      <c r="J15" s="297"/>
      <c r="K15" s="297"/>
    </row>
    <row r="16" spans="1:18" s="16" customFormat="1" ht="19.899999999999999" customHeight="1" x14ac:dyDescent="0.25">
      <c r="A16" s="260"/>
      <c r="B16" s="297" t="str">
        <f>IF(OR(_Dach_Typ="Fdg",_Dach_Typ="Fd"),"Blendung in Hauptausrichtung","Blendung")</f>
        <v>Blendung</v>
      </c>
      <c r="C16" s="297"/>
      <c r="D16" s="437" t="s">
        <v>305</v>
      </c>
      <c r="E16" s="525"/>
      <c r="F16" s="524"/>
      <c r="G16" s="297" t="str">
        <f>IFERROR(VLOOKUP(E16,_Reflektionstyp,2,FALSE),"Abklärung erforderlich")</f>
        <v>Abklärung erforderlich</v>
      </c>
      <c r="H16" s="297"/>
      <c r="I16" s="297"/>
      <c r="J16" s="297"/>
      <c r="K16" s="297"/>
      <c r="M16" s="218"/>
    </row>
    <row r="17" spans="1:18" s="16" customFormat="1" ht="19.899999999999999" customHeight="1" x14ac:dyDescent="0.25">
      <c r="A17" s="260"/>
      <c r="B17" s="526" t="s">
        <v>307</v>
      </c>
      <c r="C17" s="527"/>
      <c r="D17" s="528" t="s">
        <v>306</v>
      </c>
      <c r="E17" s="529" t="s">
        <v>274</v>
      </c>
      <c r="F17" s="530"/>
      <c r="G17" s="527" t="str">
        <f>IFERROR(VLOOKUP(E17,_Reflektionstyp,2,FALSE),"Abklärung erforderlich")</f>
        <v>Reflektionen klären! (unkritisch / kritisch)</v>
      </c>
      <c r="H17" s="527"/>
      <c r="I17" s="527"/>
      <c r="J17" s="527"/>
      <c r="K17" s="527"/>
    </row>
    <row r="18" spans="1:18" s="14" customFormat="1" ht="15" hidden="1" customHeight="1" x14ac:dyDescent="0.2">
      <c r="A18" s="262"/>
      <c r="C18" s="14" t="s">
        <v>65</v>
      </c>
      <c r="E18" s="14">
        <f>RADIANS(E14)</f>
        <v>0</v>
      </c>
      <c r="L18"/>
    </row>
    <row r="19" spans="1:18" s="14" customFormat="1" ht="12.75" hidden="1" x14ac:dyDescent="0.2">
      <c r="A19" s="262"/>
      <c r="C19" s="14" t="s">
        <v>62</v>
      </c>
      <c r="E19" s="14">
        <f>IF(_Dach_Typ=INDEX(_Liste_Dachtypen,1),0,-RADIANS(E15))</f>
        <v>0</v>
      </c>
      <c r="L19"/>
    </row>
    <row r="20" spans="1:18" ht="12.75" x14ac:dyDescent="0.2"/>
    <row r="21" spans="1:18" s="12" customFormat="1" ht="20.25" x14ac:dyDescent="0.3">
      <c r="A21" s="259"/>
      <c r="B21" s="679" t="s">
        <v>42</v>
      </c>
      <c r="C21" s="679"/>
      <c r="D21" s="679"/>
      <c r="E21" s="679"/>
      <c r="N21"/>
      <c r="O21"/>
      <c r="P21"/>
      <c r="Q21"/>
      <c r="R21"/>
    </row>
    <row r="22" spans="1:18" s="16" customFormat="1" ht="19.899999999999999" customHeight="1" x14ac:dyDescent="0.25">
      <c r="A22" s="260"/>
      <c r="B22" s="303" t="s">
        <v>43</v>
      </c>
      <c r="C22" s="303"/>
      <c r="D22" s="516" t="s">
        <v>67</v>
      </c>
      <c r="E22" s="718"/>
      <c r="F22" s="718"/>
      <c r="G22" s="303" t="s">
        <v>84</v>
      </c>
      <c r="H22" s="303" t="s">
        <v>85</v>
      </c>
      <c r="I22" s="303"/>
      <c r="J22" s="303"/>
      <c r="K22" s="303"/>
    </row>
    <row r="23" spans="1:18" s="16" customFormat="1" ht="19.899999999999999" customHeight="1" x14ac:dyDescent="0.25">
      <c r="A23" s="260"/>
      <c r="B23" s="303" t="str">
        <f>IF(OR(_Dach_Typ="Fdg",_Dach_Typ="Fd"),"Modultyp für Hauptausrichtung","Modultyp")</f>
        <v>Modultyp</v>
      </c>
      <c r="C23" s="303"/>
      <c r="D23" s="516" t="s">
        <v>317</v>
      </c>
      <c r="E23" s="504" t="str">
        <f>IF($E16="krit","Blendarm","Standard")</f>
        <v>Standard</v>
      </c>
      <c r="F23" s="531">
        <f>IF(E16="krit",_Modulleistung_Blendarm,_Modulleistung_Standard)</f>
        <v>475</v>
      </c>
      <c r="G23" s="303" t="s">
        <v>50</v>
      </c>
      <c r="H23" s="303"/>
      <c r="I23" s="303"/>
      <c r="J23" s="303"/>
      <c r="K23" s="303"/>
    </row>
    <row r="24" spans="1:18" s="16" customFormat="1" ht="19.899999999999999" customHeight="1" x14ac:dyDescent="0.25">
      <c r="A24" s="260"/>
      <c r="B24" s="527" t="s">
        <v>308</v>
      </c>
      <c r="C24" s="527"/>
      <c r="D24" s="528" t="s">
        <v>318</v>
      </c>
      <c r="E24" s="530" t="str">
        <f>IF($E17="krit","Blendarm","Standard")</f>
        <v>Standard</v>
      </c>
      <c r="F24" s="532" cm="1">
        <f t="array" ref="F24">_xlfn.IFS(_Dach_Typ="Sd",0,_Dach_Typ="Pp",0,TRUE,IF(E17="krit",_Modulleistung_Blendarm,_Modulleistung_Standard))</f>
        <v>475</v>
      </c>
      <c r="G24" s="527" t="s">
        <v>50</v>
      </c>
      <c r="H24" s="527"/>
      <c r="I24" s="527"/>
      <c r="J24" s="527"/>
      <c r="K24" s="527"/>
    </row>
    <row r="25" spans="1:18" s="16" customFormat="1" ht="19.5" customHeight="1" x14ac:dyDescent="0.25">
      <c r="A25" s="260"/>
      <c r="B25" s="533" t="s">
        <v>549</v>
      </c>
      <c r="C25" s="533"/>
      <c r="D25" s="455"/>
      <c r="E25" s="534"/>
      <c r="F25" s="535" t="str">
        <f>IF(OR(_Dach_Typ="Sd",_Dach_Typ="Pp"),"Stk. ("&amp;E23&amp;")","")</f>
        <v/>
      </c>
      <c r="G25" s="533" t="s">
        <v>551</v>
      </c>
      <c r="H25" s="533"/>
      <c r="I25" s="533"/>
      <c r="J25" s="533"/>
      <c r="K25" s="533"/>
    </row>
    <row r="26" spans="1:18" s="151" customFormat="1" ht="19.5" customHeight="1" x14ac:dyDescent="0.2">
      <c r="A26" s="263"/>
      <c r="B26" s="527" t="str">
        <f>"Davon in Hauptausrichtung: "&amp;E14&amp;"°"</f>
        <v>Davon in Hauptausrichtung: °</v>
      </c>
      <c r="C26" s="527"/>
      <c r="D26" s="528" t="s">
        <v>319</v>
      </c>
      <c r="E26" s="536">
        <f>IF(OR(_Dach_Typ="Sd",_Dach_Typ="Pp"),E25,
IF(AND(OR(_Dach_Typ="Fd",_Dach_Typ="Fdg"),OR(ISBLANK(G26),G26&gt;E25)),ROUNDUP(E25/2,0),G26))</f>
        <v>0</v>
      </c>
      <c r="F26" s="530" t="str">
        <f>"Stk. ("&amp;E23&amp;")"</f>
        <v>Stk. (Standard)</v>
      </c>
      <c r="G26" s="537"/>
      <c r="H26" s="530" t="s">
        <v>82</v>
      </c>
      <c r="I26" s="527" t="str">
        <f>IF(G26&gt;E25,"ungültiger Wert","Manuelle Eingabe")</f>
        <v>Manuelle Eingabe</v>
      </c>
      <c r="J26" s="527"/>
      <c r="K26" s="527"/>
      <c r="M26" s="155"/>
    </row>
    <row r="27" spans="1:18" s="151" customFormat="1" ht="19.5" customHeight="1" x14ac:dyDescent="0.2">
      <c r="A27" s="263"/>
      <c r="B27" s="538" t="str">
        <f>"und in Zweitausrichtung: "&amp;E14-180*SIGN(E14)&amp;"°"</f>
        <v>und in Zweitausrichtung: 0°</v>
      </c>
      <c r="C27" s="538"/>
      <c r="D27" s="539" t="s">
        <v>320</v>
      </c>
      <c r="E27" s="540">
        <f>E25-E26</f>
        <v>0</v>
      </c>
      <c r="F27" s="541" t="str">
        <f>"Stk. ("&amp;E24&amp;")"</f>
        <v>Stk. (Standard)</v>
      </c>
      <c r="G27" s="542"/>
      <c r="H27" s="538"/>
      <c r="I27" s="538"/>
      <c r="J27" s="538"/>
      <c r="K27" s="538"/>
      <c r="M27" s="155"/>
    </row>
    <row r="28" spans="1:18" s="16" customFormat="1" ht="19.5" customHeight="1" x14ac:dyDescent="0.25">
      <c r="A28" s="260"/>
      <c r="B28" s="303" t="s">
        <v>550</v>
      </c>
      <c r="C28" s="303"/>
      <c r="D28" s="516"/>
      <c r="E28" s="543">
        <f>E25</f>
        <v>0</v>
      </c>
      <c r="F28" s="535" t="str">
        <f>IF(OR(_Dach_Typ="Sd",_Dach_Typ="Pp"),"Stk. ("&amp;E23&amp;")","")</f>
        <v/>
      </c>
      <c r="G28" s="303" t="s">
        <v>552</v>
      </c>
      <c r="H28" s="303"/>
      <c r="I28" s="303"/>
      <c r="J28" s="303"/>
      <c r="K28" s="303"/>
    </row>
    <row r="29" spans="1:18" s="16" customFormat="1" ht="19.5" customHeight="1" x14ac:dyDescent="0.25">
      <c r="A29" s="260"/>
      <c r="B29" s="527" t="str">
        <f>"Davon in Hauptausrichtung: "&amp;E14&amp;"°"</f>
        <v>Davon in Hauptausrichtung: °</v>
      </c>
      <c r="C29" s="527"/>
      <c r="D29" s="528" t="s">
        <v>321</v>
      </c>
      <c r="E29" s="536">
        <f>IF(OR(_Dach_Typ="Sd",_Dach_Typ="Pp"),E28,
IF(AND(OR(_Dach_Typ="Fd",_Dach_Typ="Fdg"),OR(ISBLANK(G29),G29&gt;E28)),ROUNDUP(E28/2,0),G29))</f>
        <v>0</v>
      </c>
      <c r="F29" s="530" t="str">
        <f>"Stk. ("&amp;E23&amp;")"</f>
        <v>Stk. (Standard)</v>
      </c>
      <c r="G29" s="537"/>
      <c r="H29" s="530" t="s">
        <v>82</v>
      </c>
      <c r="I29" s="527" t="str">
        <f>IF(G29&gt;E28,"ungültiger Wert","Manuelle Eingabe")</f>
        <v>Manuelle Eingabe</v>
      </c>
      <c r="J29" s="527"/>
      <c r="K29" s="527"/>
    </row>
    <row r="30" spans="1:18" s="16" customFormat="1" ht="19.5" customHeight="1" x14ac:dyDescent="0.25">
      <c r="A30" s="260"/>
      <c r="B30" s="527" t="str">
        <f>"und in Zweitausrichtung: "&amp;E14-180*SIGN(E14)&amp;"°"</f>
        <v>und in Zweitausrichtung: 0°</v>
      </c>
      <c r="C30" s="527"/>
      <c r="D30" s="528" t="s">
        <v>322</v>
      </c>
      <c r="E30" s="536">
        <f>E28-E29</f>
        <v>0</v>
      </c>
      <c r="F30" s="530" t="str">
        <f>"Stk. ("&amp;E24&amp;")"</f>
        <v>Stk. (Standard)</v>
      </c>
      <c r="G30" s="544"/>
      <c r="H30" s="527"/>
      <c r="I30" s="527"/>
      <c r="J30" s="527"/>
      <c r="K30" s="527"/>
    </row>
    <row r="31" spans="1:18" ht="12.75" x14ac:dyDescent="0.2"/>
    <row r="32" spans="1:18" s="12" customFormat="1" ht="20.25" x14ac:dyDescent="0.3">
      <c r="A32" s="259"/>
      <c r="B32" s="679" t="s">
        <v>179</v>
      </c>
      <c r="C32" s="679"/>
      <c r="D32" s="679"/>
      <c r="E32" s="679"/>
      <c r="F32" s="679"/>
      <c r="N32"/>
      <c r="O32"/>
      <c r="P32"/>
      <c r="Q32"/>
      <c r="R32"/>
    </row>
    <row r="33" spans="1:18" s="16" customFormat="1" ht="19.899999999999999" customHeight="1" x14ac:dyDescent="0.3">
      <c r="A33" s="260"/>
      <c r="B33" s="303" t="s">
        <v>543</v>
      </c>
      <c r="C33" s="303" t="s">
        <v>288</v>
      </c>
      <c r="D33" s="516"/>
      <c r="E33" s="545">
        <f>_Spez_Ertrag_Standort</f>
        <v>900</v>
      </c>
      <c r="F33" s="522" t="s">
        <v>97</v>
      </c>
      <c r="G33" s="303" t="str">
        <f>"Spezifischer Ertrag am Standort bei horizontaler Montage"</f>
        <v>Spezifischer Ertrag am Standort bei horizontaler Montage</v>
      </c>
      <c r="H33" s="303"/>
      <c r="I33" s="303"/>
      <c r="J33" s="303"/>
      <c r="K33" s="303"/>
    </row>
    <row r="34" spans="1:18" s="16" customFormat="1" ht="19.5" customHeight="1" x14ac:dyDescent="0.3">
      <c r="A34" s="260"/>
      <c r="B34" s="297" t="s">
        <v>544</v>
      </c>
      <c r="C34" s="297" t="str">
        <f>IF(OR(_Dach_Typ="Fdg",_Dach_Typ="Fd"),"Hauptausrichtung","Ausrichtung")</f>
        <v>Ausrichtung</v>
      </c>
      <c r="D34" s="437" t="s">
        <v>323</v>
      </c>
      <c r="E34" s="546" cm="1">
        <f t="array" ref="E34">(INDEX(_Faktor_Ausrichtung,ROUND(((E15/_RasterNeigung))+1,0),ROUND((((E14)/_RasterAzimut))+180/_RasterAzimut+1,0),1))</f>
        <v>1</v>
      </c>
      <c r="F34" s="524"/>
      <c r="G34" s="297" t="str">
        <f>"Abweichung durch "&amp;C34</f>
        <v>Abweichung durch Ausrichtung</v>
      </c>
      <c r="H34" s="297"/>
      <c r="I34" s="297"/>
      <c r="J34" s="297"/>
      <c r="K34" s="297"/>
      <c r="M34" s="156"/>
    </row>
    <row r="35" spans="1:18" s="16" customFormat="1" ht="19.5" customHeight="1" x14ac:dyDescent="0.3">
      <c r="A35" s="260"/>
      <c r="B35" s="527" t="s">
        <v>545</v>
      </c>
      <c r="C35" s="527" t="s">
        <v>289</v>
      </c>
      <c r="D35" s="528" t="s">
        <v>283</v>
      </c>
      <c r="E35" s="547" cm="1">
        <f t="array" ref="E35">INDEX(_Faktor_Ausrichtung,ROUND(((E15/_RasterNeigung))+1,0),ROUND((((E14-180*SIGN(E14))/_RasterAzimut))+180/_RasterAzimut+1,0),1)</f>
        <v>1</v>
      </c>
      <c r="F35" s="530"/>
      <c r="G35" s="536" t="str">
        <f>"Abweichung durch "&amp;C35</f>
        <v>Abweichung durch Zweitausrichtung</v>
      </c>
      <c r="H35" s="530"/>
      <c r="I35" s="527"/>
      <c r="J35" s="527"/>
      <c r="K35" s="527"/>
    </row>
    <row r="36" spans="1:18" s="21" customFormat="1" ht="19.899999999999999" hidden="1" customHeight="1" x14ac:dyDescent="0.3">
      <c r="A36" s="261"/>
      <c r="B36" s="437" t="s">
        <v>543</v>
      </c>
      <c r="C36" s="437" t="s">
        <v>290</v>
      </c>
      <c r="D36" s="437"/>
      <c r="E36" s="548" t="str">
        <f>IFERROR(E33*((E34*E26)+(E35*E27))/(E26+E27),"")</f>
        <v/>
      </c>
      <c r="F36" s="549" t="s">
        <v>97</v>
      </c>
      <c r="G36" s="437" t="s">
        <v>95</v>
      </c>
      <c r="H36" s="437"/>
      <c r="I36" s="437"/>
      <c r="J36" s="437"/>
      <c r="K36" s="437"/>
      <c r="L36" s="16"/>
    </row>
    <row r="37" spans="1:18" s="21" customFormat="1" ht="19.899999999999999" hidden="1" customHeight="1" x14ac:dyDescent="0.3">
      <c r="A37" s="261"/>
      <c r="B37" s="437" t="s">
        <v>543</v>
      </c>
      <c r="C37" s="437" t="s">
        <v>291</v>
      </c>
      <c r="D37" s="437"/>
      <c r="E37" s="548" t="str">
        <f>IFERROR(E33*((E34*E29)+(E35*E30))/(E29+E30),"")</f>
        <v/>
      </c>
      <c r="F37" s="549" t="s">
        <v>97</v>
      </c>
      <c r="G37" s="437" t="s">
        <v>95</v>
      </c>
      <c r="H37" s="437"/>
      <c r="I37" s="437"/>
      <c r="J37" s="437"/>
      <c r="K37" s="437"/>
      <c r="L37" s="16"/>
    </row>
    <row r="38" spans="1:18" s="16" customFormat="1" ht="19.5" customHeight="1" x14ac:dyDescent="0.3">
      <c r="A38" s="260"/>
      <c r="B38" s="297" t="s">
        <v>543</v>
      </c>
      <c r="C38" s="297" t="str">
        <f>C34</f>
        <v>Ausrichtung</v>
      </c>
      <c r="D38" s="437" t="s">
        <v>332</v>
      </c>
      <c r="E38" s="550"/>
      <c r="F38" s="524" t="s">
        <v>97</v>
      </c>
      <c r="G38" s="297" t="s">
        <v>96</v>
      </c>
      <c r="H38" s="297"/>
      <c r="I38" s="297"/>
      <c r="J38" s="297"/>
      <c r="K38" s="297"/>
      <c r="M38" s="156"/>
    </row>
    <row r="39" spans="1:18" s="16" customFormat="1" ht="19.5" customHeight="1" x14ac:dyDescent="0.3">
      <c r="A39" s="260"/>
      <c r="B39" s="551" t="s">
        <v>546</v>
      </c>
      <c r="C39" s="551" t="s">
        <v>289</v>
      </c>
      <c r="D39" s="552"/>
      <c r="E39" s="553"/>
      <c r="F39" s="554" t="s">
        <v>97</v>
      </c>
      <c r="G39" s="551" t="s">
        <v>96</v>
      </c>
      <c r="H39" s="551"/>
      <c r="I39" s="551"/>
      <c r="J39" s="551"/>
      <c r="K39" s="551"/>
    </row>
    <row r="40" spans="1:18" s="16" customFormat="1" ht="19.899999999999999" customHeight="1" x14ac:dyDescent="0.3">
      <c r="A40" s="260"/>
      <c r="B40" s="297" t="s">
        <v>543</v>
      </c>
      <c r="C40" s="297" t="s">
        <v>292</v>
      </c>
      <c r="D40" s="437" t="s">
        <v>284</v>
      </c>
      <c r="E40" s="555" t="str">
        <f>IF(AND(OR(_Dach_Typ="Fdg",_Dach_Typ="Fd"),E27&gt;0,ISNUMBER(E38),ISNUMBER(E39)),(E38*E26+E39*E27)/(E25),
IF(AND(OR(AND(OR(_Dach_Typ="Fdg",_Dach_Typ="Fd"),E27=0),_Dach_Typ="Sd",_Dach_Typ="Pp"),ISNUMBER(E38)),E38,
IF(AND(OR(E27&gt;0,E30&gt;0),ISNUMBER(E38),NOT(ISNUMBER(E39))),0,E36)))</f>
        <v/>
      </c>
      <c r="F40" s="524" t="s">
        <v>97</v>
      </c>
      <c r="G40" s="297" t="str">
        <f>IF(E40=0,"Eingabe Zweitausrichtung erforderlich","Rechenwert spez. Jahresertrag bei technischer Vollbelegung")</f>
        <v>Rechenwert spez. Jahresertrag bei technischer Vollbelegung</v>
      </c>
      <c r="H40" s="297"/>
      <c r="I40" s="297"/>
      <c r="J40" s="297"/>
      <c r="K40" s="297"/>
    </row>
    <row r="41" spans="1:18" s="16" customFormat="1" ht="19.899999999999999" customHeight="1" x14ac:dyDescent="0.3">
      <c r="A41" s="260"/>
      <c r="B41" s="372" t="s">
        <v>543</v>
      </c>
      <c r="C41" s="372" t="s">
        <v>293</v>
      </c>
      <c r="D41" s="449" t="s">
        <v>285</v>
      </c>
      <c r="E41" s="556" t="str">
        <f>IF(AND(OR(_Dach_Typ="Fdg",_Dach_Typ="Fd"),E30&gt;0,ISNUMBER(E38),ISNUMBER(E39)),(E38*E29+E39*E30)/(E28),
IF(AND(OR(AND(OR(_Dach_Typ="Fdg",_Dach_Typ="Fd"),E30=0),_Dach_Typ="Sd",_Dach_Typ="Pp"),ISNUMBER(E38)),E38,E37))</f>
        <v/>
      </c>
      <c r="F41" s="515" t="s">
        <v>97</v>
      </c>
      <c r="G41" s="372" t="str">
        <f>IF(E41=0,"Eingabe Zweitausrichtung erforderlich","Rechenwert spez. Jahresertrag bei gesetzlichem Minimum")</f>
        <v>Rechenwert spez. Jahresertrag bei gesetzlichem Minimum</v>
      </c>
      <c r="H41" s="372"/>
      <c r="I41" s="372"/>
      <c r="J41" s="372"/>
      <c r="K41" s="372"/>
    </row>
    <row r="42" spans="1:18" ht="12.75" x14ac:dyDescent="0.2"/>
    <row r="43" spans="1:18" s="12" customFormat="1" ht="20.25" x14ac:dyDescent="0.3">
      <c r="A43" s="259"/>
      <c r="B43" s="286" t="s">
        <v>221</v>
      </c>
      <c r="D43" s="150"/>
      <c r="E43" s="719" t="s">
        <v>383</v>
      </c>
      <c r="F43" s="719"/>
      <c r="G43" s="719"/>
      <c r="H43" s="719" t="s">
        <v>384</v>
      </c>
      <c r="I43" s="719"/>
      <c r="J43" s="719"/>
      <c r="K43" s="719"/>
      <c r="N43"/>
      <c r="O43"/>
      <c r="P43"/>
      <c r="Q43"/>
      <c r="R43"/>
    </row>
    <row r="44" spans="1:18" s="12" customFormat="1" ht="19.5" customHeight="1" x14ac:dyDescent="0.3">
      <c r="A44" s="259"/>
      <c r="B44" s="303" t="s">
        <v>363</v>
      </c>
      <c r="C44" s="303"/>
      <c r="D44" s="516"/>
      <c r="E44" s="545">
        <f ca="1">IFERROR(_EIV_t.Vb./_Anlageleistung_t.Vb.*E51,0)</f>
        <v>0</v>
      </c>
      <c r="F44" s="522" t="s">
        <v>31</v>
      </c>
      <c r="G44" s="428"/>
      <c r="H44" s="545">
        <f ca="1">IFERROR(_EIV_g.Min./_Anlageleistung_g.Min.*E60,0)</f>
        <v>0</v>
      </c>
      <c r="I44" s="296" t="s">
        <v>31</v>
      </c>
      <c r="J44" s="429"/>
      <c r="K44"/>
      <c r="M44" s="218"/>
      <c r="N44"/>
      <c r="O44"/>
      <c r="P44"/>
      <c r="Q44"/>
      <c r="R44"/>
    </row>
    <row r="45" spans="1:18" s="16" customFormat="1" ht="19.899999999999999" customHeight="1" x14ac:dyDescent="0.25">
      <c r="A45" s="260"/>
      <c r="B45" s="303" t="s">
        <v>222</v>
      </c>
      <c r="C45" s="303"/>
      <c r="D45" s="516" t="s">
        <v>313</v>
      </c>
      <c r="E45" s="545">
        <f>IF(AND(E15&gt;=_Neigungswinkel_für_NB_Bund,E15&lt;=90),(E26*F23)/1000*_Bonus_Neigungswinkel_Bund+IF(OR(_Dach_Typ="Fd",_Dach_Typ="Fdg"),(F24*E27)/1000*_Bonus_Neigungswinkel_Bund,0),0)</f>
        <v>0</v>
      </c>
      <c r="F45" s="429" t="s">
        <v>31</v>
      </c>
      <c r="G45" s="514"/>
      <c r="H45" s="545">
        <f>IF(AND(E15&gt;=_Neigungswinkel_für_NB_Bund,E15&lt;=90),(E29*F23)/1000*_Bonus_Neigungswinkel_Bund+IF(OR(_Dach_Typ="Fd",_Dach_Typ="Fdg"),(F24*E30)/1000*_Bonus_Neigungswinkel_Bund,0),0)</f>
        <v>0</v>
      </c>
      <c r="I45" s="303" t="s">
        <v>31</v>
      </c>
      <c r="J45" s="429"/>
      <c r="K45"/>
    </row>
    <row r="46" spans="1:18" s="16" customFormat="1" ht="19.899999999999999" customHeight="1" x14ac:dyDescent="0.25">
      <c r="A46" s="260"/>
      <c r="B46" s="297" t="s">
        <v>223</v>
      </c>
      <c r="C46" s="297"/>
      <c r="D46" s="437" t="s">
        <v>314</v>
      </c>
      <c r="E46" s="555">
        <f>IFERROR(IF(AND(E11=Basisdaten!B154,(E26*F23+E27*F24)/1000&gt;=_Schwelle_PPBonus),(E26*F23+E27*F24)/1000*_Bonus_Pp_pronovo,0),0)</f>
        <v>0</v>
      </c>
      <c r="F46" s="557" t="s">
        <v>31</v>
      </c>
      <c r="G46" s="514"/>
      <c r="H46" s="555">
        <f>IFERROR(IF(AND(E11=Basisdaten!B154,(E29*F23+E30*F24)/1000&gt;=_Schwelle_PPBonus),(E29*F23+E30*F24)/1000*_Bonus_Pp_pronovo,0),0)</f>
        <v>0</v>
      </c>
      <c r="I46" s="297" t="s">
        <v>31</v>
      </c>
      <c r="J46" s="429"/>
      <c r="K46"/>
      <c r="M46" s="156"/>
    </row>
    <row r="47" spans="1:18" s="16" customFormat="1" ht="19.899999999999999" customHeight="1" x14ac:dyDescent="0.25">
      <c r="A47" s="260"/>
      <c r="B47" s="297" t="s">
        <v>281</v>
      </c>
      <c r="C47" s="297"/>
      <c r="D47" s="437" t="s">
        <v>310</v>
      </c>
      <c r="E47" s="555">
        <f>IF(AND(E15&gt;=_Neigungswinkel_für_NB_Bund,E15&lt;=90,NOT(_Dach_Typ="Fdg")),
((E17="unk")*E26*_Modullänge_Standard*_Modulbreite_Standard
+(E16="unk")*E27*_Modullänge_Standard*_Modulbreite_Standard
+(E17="krit")*E26*_Modullänge_Blendarm*_Modulbreite_Blendarm
+(E16="krit")*E27*_Modullänge_Blendarm*_Modulbreite_Blendarm)
*_Bonus_Steil_Stadt,0)</f>
        <v>0</v>
      </c>
      <c r="F47" s="557" t="s">
        <v>31</v>
      </c>
      <c r="G47" s="514"/>
      <c r="H47" s="555">
        <f>IF(AND(E15&gt;=_Neigungswinkel_für_NB_Bund,E15&lt;=90,NOT(_Dach_Typ="Fdg")),
((E17="unk")*E29*_Modullänge_Standard*_Modulbreite_Standard
+(E16="unk")*E30*_Modullänge_Standard*_Modulbreite_Standard
+(E17="krit")*E29*_Modullänge_Blendarm*_Modulbreite_Blendarm
+(E16="krit")*E30*_Modullänge_Blendarm*_Modulbreite_Blendarm)
*_Bonus_Steil_Stadt,0)</f>
        <v>0</v>
      </c>
      <c r="I47" s="297" t="s">
        <v>31</v>
      </c>
      <c r="J47" s="429"/>
      <c r="K47"/>
      <c r="M47" s="218"/>
    </row>
    <row r="48" spans="1:18" s="16" customFormat="1" ht="19.899999999999999" customHeight="1" x14ac:dyDescent="0.25">
      <c r="A48" s="260"/>
      <c r="B48" s="297" t="s">
        <v>309</v>
      </c>
      <c r="C48" s="297"/>
      <c r="D48" s="437" t="s">
        <v>311</v>
      </c>
      <c r="E48" s="555">
        <f>IF(_Dach_Typ="Fdg",(E26*F23+E27*F24)/1000*_Bonus_Gründach_Stadt,0)</f>
        <v>0</v>
      </c>
      <c r="F48" s="557" t="s">
        <v>31</v>
      </c>
      <c r="G48" s="514"/>
      <c r="H48" s="555">
        <f>IF(_Dach_Typ="Fdg",(E29*F23+E30*F24)/1000*_Bonus_Gründach_Stadt,0)</f>
        <v>0</v>
      </c>
      <c r="I48" s="297" t="s">
        <v>31</v>
      </c>
      <c r="J48" s="429"/>
      <c r="K48"/>
    </row>
    <row r="49" spans="1:18" s="16" customFormat="1" ht="19.899999999999999" customHeight="1" x14ac:dyDescent="0.25">
      <c r="A49" s="260"/>
      <c r="B49" s="372" t="s">
        <v>282</v>
      </c>
      <c r="C49" s="372"/>
      <c r="D49" s="449" t="s">
        <v>312</v>
      </c>
      <c r="E49" s="556">
        <f>IF(E16="krit",E26*F23/1000*_Bonus_Blendarm_Stadt,0)
+IF(AND(OR(_Dach_Typ="Fd",_Dach_Typ="Fdg"),E17="krit"),F24*E27/1000*_Bonus_Blendarm_Stadt,0)</f>
        <v>0</v>
      </c>
      <c r="F49" s="558" t="s">
        <v>31</v>
      </c>
      <c r="G49" s="514"/>
      <c r="H49" s="556">
        <f>IF(E16="krit",E29*F23/1000*_Bonus_Blendarm_Stadt,0)
+IF(AND(OR(_Dach_Typ="Fd",_Dach_Typ="Fdg"),E17="krit"),F24*E30/1000*_Bonus_Blendarm_Stadt,0)</f>
        <v>0</v>
      </c>
      <c r="I49" s="372" t="s">
        <v>31</v>
      </c>
      <c r="J49" s="429"/>
      <c r="K49"/>
    </row>
    <row r="50" spans="1:18" s="150" customFormat="1" ht="21" hidden="1" thickBot="1" x14ac:dyDescent="0.35">
      <c r="A50" s="264"/>
      <c r="B50" s="230" t="s">
        <v>368</v>
      </c>
      <c r="C50" s="25"/>
      <c r="D50" s="25"/>
      <c r="E50" s="25"/>
      <c r="F50" s="25"/>
      <c r="G50" s="25"/>
      <c r="H50" s="25"/>
      <c r="I50" s="25"/>
      <c r="J50" s="25"/>
      <c r="K50" s="231"/>
      <c r="L50" s="12"/>
      <c r="N50" s="14"/>
      <c r="O50" s="14"/>
      <c r="P50" s="14"/>
      <c r="Q50" s="14"/>
      <c r="R50" s="14"/>
    </row>
    <row r="51" spans="1:18" s="21" customFormat="1" ht="19.899999999999999" hidden="1" customHeight="1" x14ac:dyDescent="0.25">
      <c r="A51" s="261"/>
      <c r="B51" s="39" t="s">
        <v>28</v>
      </c>
      <c r="C51" s="19"/>
      <c r="D51" s="19" t="str">
        <f ca="1">CONCATENATE(B1,Basisdaten!A84)</f>
        <v>Dachfläche (1)P_TF_t.Vb.</v>
      </c>
      <c r="E51" s="232">
        <f>IF(E25&lt;6,0,
IF(AND(OR(_Dach_Typ="Fd",_Dach_Typ="Fdg"),ISNUMBER(F23),ISNUMBER(F24)),(E26*F23+E27*F24)/1000,
IF(ISNUMBER(F23),(E26*F23)/1000,0)))</f>
        <v>0</v>
      </c>
      <c r="F51" s="233" t="s">
        <v>102</v>
      </c>
      <c r="G51" s="234" t="str" cm="1">
        <f t="array" ref="G51">_xlfn.IFS(E25&lt;6,"Keine Nutzungspflicht",E16="offen","Reflektion ungeklärt",E17="offen","Reflektion ungeklärt",TRUE,"")</f>
        <v>Keine Nutzungspflicht</v>
      </c>
      <c r="H51" s="234"/>
      <c r="I51" s="234"/>
      <c r="J51" s="220"/>
      <c r="K51" s="235"/>
      <c r="L51" s="16"/>
    </row>
    <row r="52" spans="1:18" s="21" customFormat="1" ht="19.899999999999999" hidden="1" customHeight="1" x14ac:dyDescent="0.25">
      <c r="A52" s="261"/>
      <c r="B52" s="48" t="s">
        <v>357</v>
      </c>
      <c r="C52" s="27"/>
      <c r="D52" s="27"/>
      <c r="E52" s="49">
        <f>IF(E51&gt;0,VLOOKUP(D51,Basisdaten!C:E,3,FALSE),0)</f>
        <v>0</v>
      </c>
      <c r="F52" s="26" t="s">
        <v>52</v>
      </c>
      <c r="G52" s="223"/>
      <c r="H52" s="223"/>
      <c r="I52" s="223"/>
      <c r="J52" s="27"/>
      <c r="K52" s="224"/>
      <c r="L52" s="16"/>
    </row>
    <row r="53" spans="1:18" s="21" customFormat="1" ht="19.899999999999999" hidden="1" customHeight="1" x14ac:dyDescent="0.25">
      <c r="A53" s="261"/>
      <c r="B53" s="20" t="s">
        <v>29</v>
      </c>
      <c r="C53" s="17"/>
      <c r="D53" s="17"/>
      <c r="E53" s="24">
        <f>IF(E51&gt;0,E51*VLOOKUP(D51,Basisdaten!C:E,3,FALSE),0)</f>
        <v>0</v>
      </c>
      <c r="F53" s="22" t="s">
        <v>31</v>
      </c>
      <c r="G53" s="37"/>
      <c r="H53" s="37"/>
      <c r="I53" s="37"/>
      <c r="J53" s="17"/>
      <c r="K53" s="23"/>
      <c r="L53" s="16"/>
    </row>
    <row r="54" spans="1:18" s="21" customFormat="1" ht="19.899999999999999" hidden="1" customHeight="1" x14ac:dyDescent="0.25">
      <c r="A54" s="261"/>
      <c r="B54" s="20" t="s">
        <v>264</v>
      </c>
      <c r="C54" s="17"/>
      <c r="D54" s="17"/>
      <c r="E54" s="24">
        <f>IF(E16="krit",E26*_Aufpreis_Blendarm,0)
+IF(E17="krit",E27*_Aufpreis_Blendarm,0)</f>
        <v>0</v>
      </c>
      <c r="F54" s="22" t="s">
        <v>31</v>
      </c>
      <c r="G54" s="37"/>
      <c r="H54" s="37"/>
      <c r="I54" s="37"/>
      <c r="J54" s="17"/>
      <c r="K54" s="23"/>
      <c r="L54" s="16"/>
    </row>
    <row r="55" spans="1:18" s="21" customFormat="1" ht="19.899999999999999" hidden="1" customHeight="1" x14ac:dyDescent="0.25">
      <c r="A55" s="261"/>
      <c r="B55" s="20" t="s">
        <v>253</v>
      </c>
      <c r="C55" s="17"/>
      <c r="D55" s="17"/>
      <c r="E55" s="24">
        <f>IF(E51&gt;0,-SUM(E44:E49),0)</f>
        <v>0</v>
      </c>
      <c r="F55" s="22" t="s">
        <v>31</v>
      </c>
      <c r="G55" s="37"/>
      <c r="H55" s="37"/>
      <c r="I55" s="37"/>
      <c r="J55" s="17"/>
      <c r="K55" s="23"/>
      <c r="L55" s="16"/>
    </row>
    <row r="56" spans="1:18" s="21" customFormat="1" ht="19.899999999999999" hidden="1" customHeight="1" x14ac:dyDescent="0.25">
      <c r="A56" s="261"/>
      <c r="B56" s="20" t="s">
        <v>196</v>
      </c>
      <c r="C56" s="17"/>
      <c r="D56" s="17"/>
      <c r="E56" s="24">
        <f>SUM(E53:E55)</f>
        <v>0</v>
      </c>
      <c r="F56" s="22" t="s">
        <v>31</v>
      </c>
      <c r="G56" s="37"/>
      <c r="H56" s="37"/>
      <c r="I56" s="37"/>
      <c r="J56" s="17"/>
      <c r="K56" s="23"/>
      <c r="L56" s="16"/>
    </row>
    <row r="57" spans="1:18" s="21" customFormat="1" ht="19.899999999999999" hidden="1" customHeight="1" thickBot="1" x14ac:dyDescent="0.3">
      <c r="A57" s="261"/>
      <c r="B57" s="236" t="s">
        <v>367</v>
      </c>
      <c r="C57" s="28"/>
      <c r="D57" s="28" t="s">
        <v>349</v>
      </c>
      <c r="E57" s="237">
        <f>IFERROR(E56/(E40*E51)*100/25,0)</f>
        <v>0</v>
      </c>
      <c r="F57" s="157" t="s">
        <v>32</v>
      </c>
      <c r="G57" s="28" t="s">
        <v>294</v>
      </c>
      <c r="H57" s="238"/>
      <c r="I57" s="238"/>
      <c r="J57" s="28"/>
      <c r="K57" s="239"/>
      <c r="L57" s="16"/>
      <c r="M57" s="240"/>
    </row>
    <row r="58" spans="1:18" s="14" customFormat="1" ht="12.75" hidden="1" x14ac:dyDescent="0.2">
      <c r="A58" s="262"/>
      <c r="L58"/>
    </row>
    <row r="59" spans="1:18" s="150" customFormat="1" ht="21" hidden="1" thickBot="1" x14ac:dyDescent="0.35">
      <c r="A59" s="264"/>
      <c r="B59" s="230" t="s">
        <v>362</v>
      </c>
      <c r="C59" s="25"/>
      <c r="D59" s="25"/>
      <c r="E59" s="25"/>
      <c r="F59" s="25"/>
      <c r="G59" s="25"/>
      <c r="H59" s="25"/>
      <c r="I59" s="25"/>
      <c r="J59" s="25"/>
      <c r="K59" s="231"/>
      <c r="L59" s="12"/>
      <c r="N59" s="14"/>
      <c r="O59" s="14"/>
      <c r="P59" s="14"/>
      <c r="Q59" s="14"/>
      <c r="R59" s="14"/>
    </row>
    <row r="60" spans="1:18" s="21" customFormat="1" ht="19.899999999999999" hidden="1" customHeight="1" x14ac:dyDescent="0.25">
      <c r="A60" s="261"/>
      <c r="B60" s="39" t="s">
        <v>28</v>
      </c>
      <c r="C60" s="19"/>
      <c r="D60" s="19" t="str">
        <f ca="1">CONCATENATE(B1,Basisdaten!A99)</f>
        <v>Dachfläche (1)P_TF_g.Min.</v>
      </c>
      <c r="E60" s="232">
        <f>IF(E28&lt;6,0,
IF(AND(OR(_Dach_Typ="Fd",_Dach_Typ="Fdg"),ISNUMBER(F23),ISNUMBER(F24)),(E29*F23+E30*F24)/1000,
IF(ISNUMBER(F23),(E29*F23)/1000,0)))</f>
        <v>0</v>
      </c>
      <c r="F60" s="241" t="s">
        <v>102</v>
      </c>
      <c r="G60" s="19" t="str" cm="1">
        <f t="array" ref="G60">_xlfn.IFS(E28&lt;6,"Keine Nutzungspflicht",E16="offen","Reflektion ungeklärt",E17="offen","Reflektion ungeklärt",TRUE,"")</f>
        <v>Keine Nutzungspflicht</v>
      </c>
      <c r="H60" s="232"/>
      <c r="I60" s="241"/>
      <c r="J60" s="19"/>
      <c r="K60" s="242"/>
      <c r="L60" s="16"/>
    </row>
    <row r="61" spans="1:18" s="21" customFormat="1" ht="19.899999999999999" hidden="1" customHeight="1" x14ac:dyDescent="0.25">
      <c r="A61" s="261"/>
      <c r="B61" s="20" t="s">
        <v>357</v>
      </c>
      <c r="C61" s="17"/>
      <c r="D61" s="17"/>
      <c r="E61" s="24">
        <f>IF(E60&gt;0,VLOOKUP(D60,Basisdaten!C:E,3,FALSE),0)</f>
        <v>0</v>
      </c>
      <c r="F61" s="22" t="s">
        <v>31</v>
      </c>
      <c r="G61" s="17"/>
      <c r="H61" s="24"/>
      <c r="I61" s="22"/>
      <c r="J61" s="17"/>
      <c r="K61" s="23"/>
      <c r="L61" s="16"/>
    </row>
    <row r="62" spans="1:18" s="21" customFormat="1" ht="19.899999999999999" hidden="1" customHeight="1" x14ac:dyDescent="0.25">
      <c r="A62" s="261"/>
      <c r="B62" s="20" t="s">
        <v>29</v>
      </c>
      <c r="C62" s="17"/>
      <c r="D62" s="17"/>
      <c r="E62" s="24">
        <f>IF(E60&gt;0,E60*VLOOKUP(D60,Basisdaten!C:E,3,FALSE),0)</f>
        <v>0</v>
      </c>
      <c r="F62" s="22" t="s">
        <v>31</v>
      </c>
      <c r="G62" s="17"/>
      <c r="H62" s="24"/>
      <c r="I62" s="22"/>
      <c r="J62" s="17"/>
      <c r="K62" s="23"/>
      <c r="L62" s="16"/>
    </row>
    <row r="63" spans="1:18" s="21" customFormat="1" ht="19.899999999999999" hidden="1" customHeight="1" x14ac:dyDescent="0.25">
      <c r="A63" s="261"/>
      <c r="B63" s="20" t="s">
        <v>264</v>
      </c>
      <c r="C63" s="17"/>
      <c r="D63" s="17"/>
      <c r="E63" s="24">
        <f>IF(E16="krit",E29*_Aufpreis_Blendarm,0)
+IF(E17="krit",E30*_Aufpreis_Blendarm,0)</f>
        <v>0</v>
      </c>
      <c r="F63" s="22" t="s">
        <v>31</v>
      </c>
      <c r="G63" s="17"/>
      <c r="H63" s="24"/>
      <c r="I63" s="22"/>
      <c r="J63" s="17"/>
      <c r="K63" s="23"/>
      <c r="L63" s="16"/>
    </row>
    <row r="64" spans="1:18" s="21" customFormat="1" ht="19.899999999999999" hidden="1" customHeight="1" x14ac:dyDescent="0.25">
      <c r="A64" s="261"/>
      <c r="B64" s="20" t="s">
        <v>253</v>
      </c>
      <c r="C64" s="17"/>
      <c r="D64" s="17"/>
      <c r="E64" s="24">
        <f>IF(E60&gt;0,-SUM(H44:H49),0)</f>
        <v>0</v>
      </c>
      <c r="F64" s="22" t="s">
        <v>31</v>
      </c>
      <c r="G64" s="17"/>
      <c r="H64" s="24"/>
      <c r="I64" s="22"/>
      <c r="J64" s="17"/>
      <c r="K64" s="23"/>
      <c r="L64" s="16"/>
    </row>
    <row r="65" spans="1:18" s="21" customFormat="1" ht="19.899999999999999" hidden="1" customHeight="1" x14ac:dyDescent="0.25">
      <c r="A65" s="261"/>
      <c r="B65" s="20" t="s">
        <v>196</v>
      </c>
      <c r="C65" s="17"/>
      <c r="D65" s="17"/>
      <c r="E65" s="24">
        <f>SUM(E62:E64)</f>
        <v>0</v>
      </c>
      <c r="F65" s="22" t="s">
        <v>31</v>
      </c>
      <c r="G65" s="17"/>
      <c r="H65" s="24"/>
      <c r="I65" s="22"/>
      <c r="J65" s="17"/>
      <c r="K65" s="23"/>
      <c r="L65" s="16"/>
    </row>
    <row r="66" spans="1:18" s="21" customFormat="1" ht="19.899999999999999" hidden="1" customHeight="1" thickBot="1" x14ac:dyDescent="0.3">
      <c r="A66" s="261"/>
      <c r="B66" s="236" t="s">
        <v>367</v>
      </c>
      <c r="C66" s="28"/>
      <c r="D66" s="28" t="s">
        <v>350</v>
      </c>
      <c r="E66" s="237">
        <f>IFERROR(E65/(E40*E60)*100/25,0)</f>
        <v>0</v>
      </c>
      <c r="F66" s="157" t="s">
        <v>32</v>
      </c>
      <c r="G66" s="28" t="s">
        <v>294</v>
      </c>
      <c r="H66" s="237"/>
      <c r="I66" s="157"/>
      <c r="J66" s="28"/>
      <c r="K66" s="239"/>
      <c r="L66" s="16"/>
    </row>
    <row r="67" spans="1:18" s="14" customFormat="1" ht="12.75" hidden="1" x14ac:dyDescent="0.2">
      <c r="A67" s="262"/>
      <c r="L67"/>
    </row>
    <row r="68" spans="1:18" ht="12.75" x14ac:dyDescent="0.2">
      <c r="D68"/>
    </row>
    <row r="69" spans="1:18" s="12" customFormat="1" ht="20.25" x14ac:dyDescent="0.3">
      <c r="A69" s="259"/>
      <c r="B69" s="679" t="str">
        <f ca="1">"Dachaufbauten "&amp;MID(CELL("dateiname",B2),SEARCH("]",CELL("dateiname",B2))+1,31)</f>
        <v>Dachaufbauten Dachfläche (1)</v>
      </c>
      <c r="C69" s="679"/>
      <c r="D69" s="679"/>
      <c r="E69" s="679"/>
      <c r="N69"/>
      <c r="O69"/>
      <c r="P69"/>
      <c r="Q69"/>
      <c r="R69"/>
    </row>
    <row r="70" spans="1:18" s="14" customFormat="1" ht="12.75" hidden="1" x14ac:dyDescent="0.2">
      <c r="A70" s="262"/>
      <c r="B70" s="29"/>
      <c r="D70" s="14" t="s">
        <v>71</v>
      </c>
      <c r="F70" s="14">
        <v>-90</v>
      </c>
      <c r="G70" s="14">
        <v>-180</v>
      </c>
      <c r="H70" s="14">
        <v>90</v>
      </c>
      <c r="K70" s="30"/>
      <c r="L70"/>
    </row>
    <row r="71" spans="1:18" s="14" customFormat="1" ht="12.75" hidden="1" x14ac:dyDescent="0.2">
      <c r="A71" s="262"/>
      <c r="B71" s="29"/>
      <c r="D71" s="14" t="s">
        <v>60</v>
      </c>
      <c r="F71" s="31">
        <f>RADIANS(F70)</f>
        <v>-1.5707963267948966</v>
      </c>
      <c r="G71" s="31">
        <f t="shared" ref="G71:H71" si="1">RADIANS(G70)</f>
        <v>-3.1415926535897931</v>
      </c>
      <c r="H71" s="31">
        <f t="shared" si="1"/>
        <v>1.5707963267948966</v>
      </c>
      <c r="K71" s="30"/>
      <c r="L71"/>
    </row>
    <row r="72" spans="1:18" s="14" customFormat="1" ht="12.75" hidden="1" x14ac:dyDescent="0.2">
      <c r="A72" s="262"/>
      <c r="B72" s="29"/>
      <c r="D72" s="14" t="s">
        <v>61</v>
      </c>
      <c r="F72" s="14">
        <v>1</v>
      </c>
      <c r="G72" s="14">
        <v>3</v>
      </c>
      <c r="H72" s="14">
        <v>1</v>
      </c>
      <c r="K72" s="30"/>
      <c r="L72"/>
    </row>
    <row r="73" spans="1:18" s="14" customFormat="1" ht="12.75" hidden="1" x14ac:dyDescent="0.2">
      <c r="A73" s="262"/>
      <c r="B73" s="29"/>
      <c r="D73" s="14" t="s">
        <v>72</v>
      </c>
      <c r="F73" s="32">
        <f>$F$72*SIN(ATAN(1/$F$72))/SIN(ASIN(SIN($E$19)*COS($F$71-PI()+$E$18))+ATAN(1/$F$72))</f>
        <v>1</v>
      </c>
      <c r="G73" s="32">
        <f>$G$72*SIN(ATAN(1/$G$72))/SIN(ASIN(SIN(-$E$19)*COS($G$71-PI()+$E$18))+ATAN(1/$G$72))</f>
        <v>3</v>
      </c>
      <c r="H73" s="32">
        <f>$H$72*SIN(ATAN(1/$H$72))/SIN(ASIN(SIN($E$19)*COS($H$71-PI()+$E$18))+ATAN(1/$H$72))</f>
        <v>1</v>
      </c>
      <c r="K73" s="30"/>
      <c r="L73"/>
    </row>
    <row r="74" spans="1:18" s="14" customFormat="1" ht="12.75" hidden="1" x14ac:dyDescent="0.2">
      <c r="A74" s="262"/>
      <c r="B74" s="29"/>
      <c r="D74" s="14" t="s">
        <v>63</v>
      </c>
      <c r="F74" s="31">
        <f>ASIN(SIN($E$19)*COS(F71-$E$18))</f>
        <v>0</v>
      </c>
      <c r="G74" s="31">
        <f>ASIN(SIN($E$19)*COS(G71-$E$18))</f>
        <v>0</v>
      </c>
      <c r="H74" s="31">
        <f>ASIN(SIN($E$19)*COS(H71-$E$18))</f>
        <v>0</v>
      </c>
      <c r="K74" s="30"/>
      <c r="L74"/>
    </row>
    <row r="75" spans="1:18" s="14" customFormat="1" ht="12.75" hidden="1" x14ac:dyDescent="0.2">
      <c r="A75" s="262"/>
      <c r="B75" s="29"/>
      <c r="D75" s="14" t="s">
        <v>64</v>
      </c>
      <c r="F75" s="33">
        <f>F74*180/PI()</f>
        <v>0</v>
      </c>
      <c r="G75" s="33">
        <f t="shared" ref="G75:H75" si="2">G74*180/PI()</f>
        <v>0</v>
      </c>
      <c r="H75" s="33">
        <f t="shared" si="2"/>
        <v>0</v>
      </c>
      <c r="K75" s="30"/>
      <c r="L75"/>
    </row>
    <row r="76" spans="1:18" s="51" customFormat="1" ht="60" customHeight="1" x14ac:dyDescent="0.2">
      <c r="A76" s="265"/>
      <c r="B76" s="601" t="str">
        <f>_xlfn._LONGTEXT("Zu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f>
        <v>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v>
      </c>
      <c r="C76" s="601"/>
      <c r="D76" s="601"/>
      <c r="E76" s="601"/>
      <c r="F76" s="601"/>
      <c r="G76" s="601"/>
      <c r="H76" s="601"/>
      <c r="I76" s="601"/>
      <c r="J76" s="140"/>
      <c r="K76" s="140"/>
    </row>
    <row r="77" spans="1:18" s="16" customFormat="1" ht="19.899999999999999" customHeight="1" x14ac:dyDescent="0.25">
      <c r="A77" s="260"/>
      <c r="B77" s="428"/>
      <c r="C77" s="514"/>
      <c r="D77" s="559"/>
      <c r="E77" s="560"/>
      <c r="F77" s="717" t="s">
        <v>74</v>
      </c>
      <c r="G77" s="717"/>
      <c r="H77" s="717"/>
      <c r="I77"/>
      <c r="J77"/>
      <c r="K77"/>
    </row>
    <row r="78" spans="1:18" s="16" customFormat="1" ht="19.899999999999999" customHeight="1" x14ac:dyDescent="0.25">
      <c r="A78" s="260"/>
      <c r="B78" s="428" t="s">
        <v>78</v>
      </c>
      <c r="C78" s="514" t="s">
        <v>20</v>
      </c>
      <c r="D78" s="559"/>
      <c r="E78" s="562" t="s">
        <v>94</v>
      </c>
      <c r="F78" s="561" t="s">
        <v>75</v>
      </c>
      <c r="G78" s="561" t="s">
        <v>76</v>
      </c>
      <c r="H78" s="561" t="s">
        <v>77</v>
      </c>
      <c r="I78"/>
      <c r="J78"/>
      <c r="K78"/>
    </row>
    <row r="79" spans="1:18" s="16" customFormat="1" ht="19.899999999999999" customHeight="1" x14ac:dyDescent="0.25">
      <c r="A79" s="260"/>
      <c r="B79" s="563" t="s">
        <v>79</v>
      </c>
      <c r="C79" s="564"/>
      <c r="D79" s="565"/>
      <c r="E79" s="566" t="s">
        <v>73</v>
      </c>
      <c r="F79" s="566" t="s">
        <v>73</v>
      </c>
      <c r="G79" s="566" t="s">
        <v>73</v>
      </c>
      <c r="H79" s="566" t="s">
        <v>73</v>
      </c>
      <c r="I79" s="295"/>
      <c r="J79" s="295"/>
      <c r="K79" s="295"/>
    </row>
    <row r="80" spans="1:18" s="16" customFormat="1" ht="19.899999999999999" customHeight="1" x14ac:dyDescent="0.25">
      <c r="A80" s="260"/>
      <c r="B80" s="503">
        <v>1</v>
      </c>
      <c r="C80" s="567"/>
      <c r="D80" s="568"/>
      <c r="E80" s="569"/>
      <c r="F80" s="570" t="str">
        <f>IF(ISNUMBER($E80),$E80*IF($F$73&gt;0,MIN($F$72:$F$73),MAX($F$72:$F$73)),"")</f>
        <v/>
      </c>
      <c r="G80" s="570" t="str">
        <f>IF(ISNUMBER($E80),$E80*IF($G$73&gt;0,MIN($G$72:$G$73),MAX($G$72:$G$73)),"")</f>
        <v/>
      </c>
      <c r="H80" s="570" t="str">
        <f>IF(ISNUMBER($E80),$E80*IF($H$73&gt;0,MIN($H$72:$H$73),MAX($H$72:$H$73)),"")</f>
        <v/>
      </c>
      <c r="I80" s="303"/>
      <c r="J80" s="303"/>
      <c r="K80" s="303"/>
    </row>
    <row r="81" spans="1:11" s="16" customFormat="1" ht="19.899999999999999" customHeight="1" x14ac:dyDescent="0.25">
      <c r="A81" s="260"/>
      <c r="B81" s="505">
        <v>2</v>
      </c>
      <c r="C81" s="571"/>
      <c r="D81" s="572"/>
      <c r="E81" s="573"/>
      <c r="F81" s="574" t="str">
        <f>IF(ISNUMBER($E81),$E81*IF($F$73&gt;0,MIN($F$72:$F$73),MAX($F$72:$F$73)),"")</f>
        <v/>
      </c>
      <c r="G81" s="574" t="str">
        <f>IF(ISNUMBER($E81),$E81*IF($G$73&gt;0,MIN($G$72:$G$73),MAX($G$72:$G$73)),"")</f>
        <v/>
      </c>
      <c r="H81" s="574" t="str">
        <f>IF(ISNUMBER($E81),$E81*IF($H$73&gt;0,MIN($H$72:$H$73),MAX($H$72:$H$73)),"")</f>
        <v/>
      </c>
      <c r="I81" s="297"/>
      <c r="J81" s="297"/>
      <c r="K81" s="297"/>
    </row>
    <row r="82" spans="1:11" s="16" customFormat="1" ht="19.899999999999999" customHeight="1" x14ac:dyDescent="0.25">
      <c r="A82" s="260"/>
      <c r="B82" s="505">
        <v>3</v>
      </c>
      <c r="C82" s="571"/>
      <c r="D82" s="572"/>
      <c r="E82" s="573"/>
      <c r="F82" s="574" t="str">
        <f>IF(ISNUMBER($E82),$E82*IF($F$73&gt;0,MIN($F$72:$F$73),MAX($F$72:$F$73)),"")</f>
        <v/>
      </c>
      <c r="G82" s="574" t="str">
        <f>IF(ISNUMBER($E82),$E82*IF($G$73&gt;0,MIN($G$72:$G$73),MAX($G$72:$G$73)),"")</f>
        <v/>
      </c>
      <c r="H82" s="574" t="str">
        <f>IF(ISNUMBER($E82),$E82*IF($H$73&gt;0,MIN($H$72:$H$73),MAX($H$72:$H$73)),"")</f>
        <v/>
      </c>
      <c r="I82" s="297"/>
      <c r="J82" s="297"/>
      <c r="K82" s="297"/>
    </row>
    <row r="83" spans="1:11" s="16" customFormat="1" ht="19.899999999999999" customHeight="1" x14ac:dyDescent="0.25">
      <c r="A83" s="260"/>
      <c r="B83" s="505">
        <v>4</v>
      </c>
      <c r="C83" s="571"/>
      <c r="D83" s="572"/>
      <c r="E83" s="573"/>
      <c r="F83" s="574" t="str">
        <f>IF(ISNUMBER($E83),$E83*IF($F$73&gt;0,MIN($F$72:$F$73),MAX($F$72:$F$73)),"")</f>
        <v/>
      </c>
      <c r="G83" s="574" t="str">
        <f>IF(ISNUMBER($E83),$E83*IF($G$73&gt;0,MIN($G$72:$G$73),MAX($G$72:$G$73)),"")</f>
        <v/>
      </c>
      <c r="H83" s="574" t="str">
        <f>IF(ISNUMBER($E83),$E83*IF($H$73&gt;0,MIN($H$72:$H$73),MAX($H$72:$H$73)),"")</f>
        <v/>
      </c>
      <c r="I83" s="297"/>
      <c r="J83" s="297"/>
      <c r="K83" s="297"/>
    </row>
    <row r="84" spans="1:11" s="16" customFormat="1" ht="19.899999999999999" customHeight="1" x14ac:dyDescent="0.25">
      <c r="A84" s="260"/>
      <c r="B84" s="505">
        <v>5</v>
      </c>
      <c r="C84" s="571"/>
      <c r="D84" s="572"/>
      <c r="E84" s="573"/>
      <c r="F84" s="574" t="str">
        <f>IF(ISNUMBER($E84),$E84*IF($F$73&gt;0,MIN($F$72:$F$73),MAX($F$72:$F$73)),"")</f>
        <v/>
      </c>
      <c r="G84" s="574" t="str">
        <f>IF(ISNUMBER($E84),$E84*IF($G$73&gt;0,MIN($G$72:$G$73),MAX($G$72:$G$73)),"")</f>
        <v/>
      </c>
      <c r="H84" s="574" t="str">
        <f>IF(ISNUMBER($E84),$E84*IF($H$73&gt;0,MIN($H$72:$H$73),MAX($H$72:$H$73)),"")</f>
        <v/>
      </c>
      <c r="I84" s="297"/>
      <c r="J84" s="297"/>
      <c r="K84" s="297"/>
    </row>
    <row r="85" spans="1:11" ht="12.75" x14ac:dyDescent="0.2"/>
    <row r="86" spans="1:11" ht="12.75" x14ac:dyDescent="0.2"/>
    <row r="87" spans="1:11" ht="12.75" x14ac:dyDescent="0.2"/>
    <row r="88" spans="1:11" ht="15" customHeight="1" x14ac:dyDescent="0.2"/>
    <row r="89" spans="1:11" ht="15" customHeight="1" x14ac:dyDescent="0.2"/>
    <row r="90" spans="1:11" ht="15" customHeight="1" x14ac:dyDescent="0.2"/>
    <row r="91" spans="1:11" ht="15" hidden="1" customHeight="1" x14ac:dyDescent="0.2"/>
    <row r="92" spans="1:11" ht="15" hidden="1" customHeight="1" x14ac:dyDescent="0.2"/>
    <row r="93" spans="1:11" ht="15" hidden="1" customHeight="1" x14ac:dyDescent="0.2"/>
    <row r="94" spans="1:11" ht="14.1" hidden="1" customHeight="1" x14ac:dyDescent="0.2"/>
    <row r="95" spans="1:11" ht="14.1" hidden="1" customHeight="1" x14ac:dyDescent="0.2"/>
    <row r="96" spans="1:11" ht="14.1" hidden="1" customHeight="1" x14ac:dyDescent="0.2"/>
    <row r="97" ht="14.1" hidden="1" customHeight="1" x14ac:dyDescent="0.2"/>
    <row r="98" ht="14.1" hidden="1" customHeight="1" x14ac:dyDescent="0.2"/>
    <row r="99" ht="14.1" hidden="1" customHeight="1" x14ac:dyDescent="0.2"/>
    <row r="100" ht="14.1" hidden="1" customHeight="1" x14ac:dyDescent="0.2"/>
    <row r="101" ht="14.1" hidden="1" customHeight="1" x14ac:dyDescent="0.2"/>
    <row r="102" ht="14.1" hidden="1" customHeight="1" x14ac:dyDescent="0.2"/>
    <row r="103" ht="14.1" hidden="1" customHeight="1" x14ac:dyDescent="0.2"/>
    <row r="104" ht="14.1" hidden="1" customHeight="1" x14ac:dyDescent="0.2"/>
    <row r="105" ht="14.1" hidden="1" customHeight="1" x14ac:dyDescent="0.2"/>
    <row r="106" ht="14.1" hidden="1" customHeight="1" x14ac:dyDescent="0.2"/>
    <row r="107" ht="14.1" hidden="1" customHeight="1" x14ac:dyDescent="0.2"/>
    <row r="108" ht="14.1" hidden="1" customHeight="1" x14ac:dyDescent="0.2"/>
    <row r="109" ht="14.1" hidden="1" customHeight="1" x14ac:dyDescent="0.2"/>
    <row r="110" ht="14.1" hidden="1" customHeight="1" x14ac:dyDescent="0.2"/>
    <row r="111" ht="14.1" hidden="1" customHeight="1" x14ac:dyDescent="0.2"/>
    <row r="112" ht="14.1" hidden="1" customHeight="1" x14ac:dyDescent="0.2"/>
    <row r="113" ht="14.1" hidden="1" customHeight="1" x14ac:dyDescent="0.2"/>
    <row r="114" ht="14.1" hidden="1" customHeight="1" x14ac:dyDescent="0.2"/>
    <row r="115" ht="14.1" hidden="1" customHeight="1" x14ac:dyDescent="0.2"/>
    <row r="116" ht="14.1" hidden="1" customHeight="1" x14ac:dyDescent="0.2"/>
    <row r="117" ht="14.1" hidden="1" customHeight="1" x14ac:dyDescent="0.2"/>
    <row r="118" ht="14.1" hidden="1" customHeight="1" x14ac:dyDescent="0.2"/>
    <row r="119" ht="14.1" hidden="1" customHeight="1" x14ac:dyDescent="0.2"/>
    <row r="120" ht="14.1" hidden="1" customHeight="1" x14ac:dyDescent="0.2"/>
    <row r="121" ht="14.1" hidden="1" customHeight="1" x14ac:dyDescent="0.2"/>
    <row r="122" ht="14.1" hidden="1" customHeight="1" x14ac:dyDescent="0.2"/>
    <row r="123" ht="14.1" hidden="1" customHeight="1" x14ac:dyDescent="0.2"/>
    <row r="124" ht="14.1" hidden="1" customHeight="1" x14ac:dyDescent="0.2"/>
    <row r="125" ht="14.1" hidden="1" customHeight="1" x14ac:dyDescent="0.2"/>
    <row r="126" ht="14.1" hidden="1" customHeight="1" x14ac:dyDescent="0.2"/>
    <row r="127" ht="14.1" hidden="1" customHeight="1" x14ac:dyDescent="0.2"/>
    <row r="128" ht="14.1" hidden="1" customHeight="1" x14ac:dyDescent="0.2"/>
    <row r="129" ht="14.1" hidden="1" customHeight="1" x14ac:dyDescent="0.2"/>
    <row r="130" ht="14.1" hidden="1" customHeight="1" x14ac:dyDescent="0.2"/>
    <row r="131" ht="14.1" hidden="1" customHeight="1" x14ac:dyDescent="0.2"/>
    <row r="132" ht="14.1" hidden="1" customHeight="1" x14ac:dyDescent="0.2"/>
    <row r="133" ht="14.1" hidden="1" customHeight="1" x14ac:dyDescent="0.2"/>
    <row r="134" ht="14.1" hidden="1" customHeight="1" x14ac:dyDescent="0.2"/>
    <row r="135" ht="14.1" hidden="1" customHeight="1" x14ac:dyDescent="0.2"/>
    <row r="136" ht="14.1" hidden="1" customHeight="1" x14ac:dyDescent="0.2"/>
    <row r="137" ht="14.1" hidden="1" customHeight="1" x14ac:dyDescent="0.2"/>
    <row r="138" ht="14.1" hidden="1" customHeight="1" x14ac:dyDescent="0.2"/>
    <row r="139" ht="14.1" hidden="1" customHeight="1" x14ac:dyDescent="0.2"/>
    <row r="140" ht="14.1" hidden="1" customHeight="1" x14ac:dyDescent="0.2"/>
    <row r="141" ht="14.1" hidden="1" customHeight="1" x14ac:dyDescent="0.2"/>
    <row r="142" ht="14.1" hidden="1" customHeight="1" x14ac:dyDescent="0.2"/>
    <row r="143" ht="14.1" hidden="1" customHeight="1" x14ac:dyDescent="0.2"/>
    <row r="144" ht="14.1" hidden="1" customHeight="1" x14ac:dyDescent="0.2"/>
    <row r="145" ht="14.1" hidden="1" customHeight="1" x14ac:dyDescent="0.2"/>
    <row r="146" ht="14.1" hidden="1" customHeight="1" x14ac:dyDescent="0.2"/>
    <row r="147" ht="14.1" hidden="1" customHeight="1" x14ac:dyDescent="0.2"/>
    <row r="148" ht="14.1" hidden="1" customHeight="1" x14ac:dyDescent="0.2"/>
    <row r="149" ht="14.1" hidden="1" customHeight="1" x14ac:dyDescent="0.2"/>
    <row r="150" ht="14.1" hidden="1" customHeight="1" x14ac:dyDescent="0.2"/>
    <row r="151" ht="14.1" hidden="1" customHeight="1" x14ac:dyDescent="0.2"/>
    <row r="152" ht="14.1" hidden="1" customHeight="1" x14ac:dyDescent="0.2"/>
    <row r="153" ht="14.1" hidden="1" customHeight="1" x14ac:dyDescent="0.2"/>
    <row r="154" ht="14.1" hidden="1" customHeight="1" x14ac:dyDescent="0.2"/>
    <row r="155" ht="14.1" hidden="1" customHeight="1" x14ac:dyDescent="0.2"/>
    <row r="156" ht="14.1" hidden="1" customHeight="1" x14ac:dyDescent="0.2"/>
    <row r="157" ht="14.1" hidden="1" customHeight="1" x14ac:dyDescent="0.2"/>
    <row r="158" ht="14.1" hidden="1" customHeight="1" x14ac:dyDescent="0.2"/>
    <row r="159" ht="14.1" hidden="1" customHeight="1" x14ac:dyDescent="0.2"/>
    <row r="160" ht="14.1" hidden="1" customHeight="1" x14ac:dyDescent="0.2"/>
    <row r="161" ht="14.1" hidden="1" customHeight="1" x14ac:dyDescent="0.2"/>
    <row r="162" ht="14.1" hidden="1" customHeight="1" x14ac:dyDescent="0.2"/>
    <row r="163" ht="14.1" hidden="1" customHeight="1" x14ac:dyDescent="0.2"/>
    <row r="164" ht="14.1" hidden="1" customHeight="1" x14ac:dyDescent="0.2"/>
    <row r="165" ht="14.1" hidden="1" customHeight="1" x14ac:dyDescent="0.2"/>
    <row r="166" ht="14.1" hidden="1" customHeight="1" x14ac:dyDescent="0.2"/>
    <row r="167" ht="14.1" hidden="1" customHeight="1" x14ac:dyDescent="0.2"/>
    <row r="168" ht="14.1" hidden="1" customHeight="1" x14ac:dyDescent="0.2"/>
    <row r="169" ht="14.1" hidden="1" customHeight="1" x14ac:dyDescent="0.2"/>
    <row r="170" ht="14.1" hidden="1" customHeight="1" x14ac:dyDescent="0.2"/>
    <row r="171" ht="14.1" hidden="1" customHeight="1" x14ac:dyDescent="0.2"/>
    <row r="172" ht="14.1" hidden="1" customHeight="1" x14ac:dyDescent="0.2"/>
    <row r="173" ht="14.1" hidden="1" customHeight="1" x14ac:dyDescent="0.2"/>
    <row r="174" ht="14.1" hidden="1" customHeight="1" x14ac:dyDescent="0.2"/>
    <row r="175" ht="14.1" hidden="1" customHeight="1" x14ac:dyDescent="0.2"/>
    <row r="176" ht="14.1" hidden="1" customHeight="1" x14ac:dyDescent="0.2"/>
    <row r="177" ht="14.1" hidden="1" customHeight="1" x14ac:dyDescent="0.2"/>
    <row r="178" ht="14.1" hidden="1" customHeight="1" x14ac:dyDescent="0.2"/>
    <row r="179" ht="14.1" hidden="1" customHeight="1" x14ac:dyDescent="0.2"/>
    <row r="180" ht="14.1" hidden="1" customHeight="1" x14ac:dyDescent="0.2"/>
    <row r="181" ht="14.1" hidden="1" customHeight="1" x14ac:dyDescent="0.2"/>
    <row r="182" ht="14.1" hidden="1" customHeight="1" x14ac:dyDescent="0.2"/>
    <row r="183" ht="14.1" hidden="1" customHeight="1" x14ac:dyDescent="0.2"/>
    <row r="184" ht="14.1" hidden="1" customHeight="1" x14ac:dyDescent="0.2"/>
    <row r="185" ht="14.1" hidden="1" customHeight="1" x14ac:dyDescent="0.2"/>
    <row r="186" ht="14.1" hidden="1" customHeight="1" x14ac:dyDescent="0.2"/>
    <row r="187" ht="14.1" hidden="1" customHeight="1" x14ac:dyDescent="0.2"/>
    <row r="188" ht="14.1" hidden="1" customHeight="1" x14ac:dyDescent="0.2"/>
    <row r="189" ht="14.1" hidden="1" customHeight="1" x14ac:dyDescent="0.2"/>
    <row r="190" ht="14.1" hidden="1" customHeight="1" x14ac:dyDescent="0.2"/>
    <row r="191" ht="14.1" hidden="1" customHeight="1" x14ac:dyDescent="0.2"/>
    <row r="192" ht="14.1" hidden="1" customHeight="1" x14ac:dyDescent="0.2"/>
    <row r="193" ht="14.1" hidden="1" customHeight="1" x14ac:dyDescent="0.2"/>
    <row r="194" ht="14.1" hidden="1" customHeight="1" x14ac:dyDescent="0.2"/>
    <row r="195" ht="14.1" hidden="1" customHeight="1" x14ac:dyDescent="0.2"/>
    <row r="196" ht="14.1" hidden="1" customHeight="1" x14ac:dyDescent="0.2"/>
    <row r="197" ht="14.1" hidden="1" customHeight="1" x14ac:dyDescent="0.2"/>
    <row r="198" ht="14.1" hidden="1" customHeight="1" x14ac:dyDescent="0.2"/>
    <row r="199" ht="14.1" hidden="1" customHeight="1" x14ac:dyDescent="0.2"/>
    <row r="200" ht="14.1" hidden="1" customHeight="1" x14ac:dyDescent="0.2"/>
    <row r="201" ht="14.1" hidden="1" customHeight="1" x14ac:dyDescent="0.2"/>
    <row r="202" ht="14.1" hidden="1" customHeight="1" x14ac:dyDescent="0.2"/>
    <row r="203" ht="14.1" hidden="1" customHeight="1" x14ac:dyDescent="0.2"/>
    <row r="204" ht="14.1" hidden="1" customHeight="1" x14ac:dyDescent="0.2"/>
    <row r="205" ht="14.1" hidden="1" customHeight="1" x14ac:dyDescent="0.2"/>
    <row r="206" ht="14.1" hidden="1" customHeight="1" x14ac:dyDescent="0.2"/>
    <row r="207" ht="14.1" hidden="1" customHeight="1" x14ac:dyDescent="0.2"/>
    <row r="208" ht="14.1" hidden="1" customHeight="1" x14ac:dyDescent="0.2"/>
    <row r="209" ht="14.1" hidden="1" customHeight="1" x14ac:dyDescent="0.2"/>
    <row r="210" ht="14.1" hidden="1" customHeight="1" x14ac:dyDescent="0.2"/>
    <row r="211" ht="14.1" hidden="1" customHeight="1" x14ac:dyDescent="0.2"/>
    <row r="212" ht="14.1" hidden="1" customHeight="1" x14ac:dyDescent="0.2"/>
    <row r="213" ht="14.1" hidden="1" customHeight="1" x14ac:dyDescent="0.2"/>
    <row r="214" ht="14.1" hidden="1" customHeight="1" x14ac:dyDescent="0.2"/>
    <row r="215" ht="14.1" hidden="1" customHeight="1" x14ac:dyDescent="0.2"/>
    <row r="216" ht="14.1" hidden="1" customHeight="1" x14ac:dyDescent="0.2"/>
    <row r="217" ht="14.1" hidden="1" customHeight="1" x14ac:dyDescent="0.2"/>
    <row r="218" ht="14.1" hidden="1" customHeight="1" x14ac:dyDescent="0.2"/>
    <row r="219" ht="14.1" hidden="1" customHeight="1" x14ac:dyDescent="0.2"/>
    <row r="220" ht="14.1" hidden="1" customHeight="1" x14ac:dyDescent="0.2"/>
    <row r="221" ht="14.1" hidden="1" customHeight="1" x14ac:dyDescent="0.2"/>
    <row r="222" ht="14.1" hidden="1" customHeight="1" x14ac:dyDescent="0.2"/>
    <row r="223" ht="14.1" hidden="1" customHeight="1" x14ac:dyDescent="0.2"/>
    <row r="224" ht="14.1" hidden="1" customHeight="1" x14ac:dyDescent="0.2"/>
    <row r="225" ht="14.1" hidden="1" customHeight="1" x14ac:dyDescent="0.2"/>
    <row r="226" ht="14.1" hidden="1" customHeight="1" x14ac:dyDescent="0.2"/>
    <row r="227" ht="14.1" hidden="1" customHeight="1" x14ac:dyDescent="0.2"/>
    <row r="228" ht="14.1" hidden="1" customHeight="1" x14ac:dyDescent="0.2"/>
    <row r="229" ht="14.1" hidden="1" customHeight="1" x14ac:dyDescent="0.2"/>
    <row r="230" ht="14.1" hidden="1" customHeight="1" x14ac:dyDescent="0.2"/>
    <row r="231" ht="14.1" hidden="1" customHeight="1" x14ac:dyDescent="0.2"/>
    <row r="232" ht="14.1" hidden="1" customHeight="1" x14ac:dyDescent="0.2"/>
    <row r="233" ht="14.1" hidden="1" customHeight="1" x14ac:dyDescent="0.2"/>
    <row r="234" ht="14.1" hidden="1" customHeight="1" x14ac:dyDescent="0.2"/>
    <row r="235" ht="14.1" hidden="1" customHeight="1" x14ac:dyDescent="0.2"/>
    <row r="236" ht="14.1" hidden="1" customHeight="1" x14ac:dyDescent="0.2"/>
    <row r="237" ht="14.1" hidden="1" customHeight="1" x14ac:dyDescent="0.2"/>
    <row r="238" ht="14.1" hidden="1" customHeight="1" x14ac:dyDescent="0.2"/>
    <row r="239" ht="14.1" hidden="1" customHeight="1" x14ac:dyDescent="0.2"/>
    <row r="240" ht="14.1" hidden="1" customHeight="1" x14ac:dyDescent="0.2"/>
    <row r="241" ht="14.1" hidden="1" customHeight="1" x14ac:dyDescent="0.2"/>
    <row r="242" ht="14.1" hidden="1" customHeight="1" x14ac:dyDescent="0.2"/>
    <row r="243" ht="14.1" hidden="1" customHeight="1" x14ac:dyDescent="0.2"/>
    <row r="244" ht="14.1" hidden="1" customHeight="1" x14ac:dyDescent="0.2"/>
    <row r="245" ht="14.1" hidden="1" customHeight="1" x14ac:dyDescent="0.2"/>
    <row r="246" ht="14.1" hidden="1" customHeight="1" x14ac:dyDescent="0.2"/>
    <row r="247" ht="14.1" hidden="1" customHeight="1" x14ac:dyDescent="0.2"/>
    <row r="248" ht="14.1" hidden="1" customHeight="1" x14ac:dyDescent="0.2"/>
    <row r="249" ht="14.1" hidden="1" customHeight="1" x14ac:dyDescent="0.2"/>
    <row r="250" ht="14.1" hidden="1" customHeight="1" x14ac:dyDescent="0.2"/>
    <row r="251" ht="14.1" hidden="1" customHeight="1" x14ac:dyDescent="0.2"/>
    <row r="252" ht="14.1" hidden="1" customHeight="1" x14ac:dyDescent="0.2"/>
    <row r="253" ht="14.1" hidden="1" customHeight="1" x14ac:dyDescent="0.2"/>
    <row r="254" ht="14.1" hidden="1" customHeight="1" x14ac:dyDescent="0.2"/>
    <row r="255" ht="14.1" hidden="1" customHeight="1" x14ac:dyDescent="0.2"/>
    <row r="256" ht="14.1" hidden="1" customHeight="1" x14ac:dyDescent="0.2"/>
    <row r="257" ht="14.1" hidden="1" customHeight="1" x14ac:dyDescent="0.2"/>
    <row r="258" ht="14.1" hidden="1" customHeight="1" x14ac:dyDescent="0.2"/>
    <row r="259" ht="14.1" hidden="1" customHeight="1" x14ac:dyDescent="0.2"/>
    <row r="260" ht="14.1" hidden="1" customHeight="1" x14ac:dyDescent="0.2"/>
    <row r="261" ht="14.1" hidden="1" customHeight="1" x14ac:dyDescent="0.2"/>
    <row r="262" ht="14.1" hidden="1" customHeight="1" x14ac:dyDescent="0.2"/>
    <row r="263" ht="14.1" hidden="1" customHeight="1" x14ac:dyDescent="0.2"/>
    <row r="264" ht="14.1" hidden="1" customHeight="1" x14ac:dyDescent="0.2"/>
    <row r="265" ht="14.1" hidden="1" customHeight="1" x14ac:dyDescent="0.2"/>
    <row r="266" ht="14.1" hidden="1" customHeight="1" x14ac:dyDescent="0.2"/>
    <row r="267" ht="14.1" hidden="1" customHeight="1" x14ac:dyDescent="0.2"/>
    <row r="268" ht="14.1" hidden="1" customHeight="1" x14ac:dyDescent="0.2"/>
    <row r="269" ht="14.1" hidden="1" customHeight="1" x14ac:dyDescent="0.2"/>
    <row r="270" ht="14.1" hidden="1" customHeight="1" x14ac:dyDescent="0.2"/>
    <row r="271" ht="14.1" hidden="1" customHeight="1" x14ac:dyDescent="0.2"/>
    <row r="272" ht="14.1" hidden="1" customHeight="1" x14ac:dyDescent="0.2"/>
    <row r="273" ht="14.1" hidden="1" customHeight="1" x14ac:dyDescent="0.2"/>
    <row r="274" ht="14.1" hidden="1" customHeight="1" x14ac:dyDescent="0.2"/>
    <row r="275" ht="14.1" hidden="1" customHeight="1" x14ac:dyDescent="0.2"/>
    <row r="276" ht="14.1" hidden="1" customHeight="1" x14ac:dyDescent="0.2"/>
    <row r="277" ht="14.1" hidden="1" customHeight="1" x14ac:dyDescent="0.2"/>
    <row r="278" ht="14.1" hidden="1" customHeight="1" x14ac:dyDescent="0.2"/>
    <row r="279" ht="14.1" hidden="1" customHeight="1" x14ac:dyDescent="0.2"/>
    <row r="280" ht="14.1" hidden="1" customHeight="1" x14ac:dyDescent="0.2"/>
    <row r="281" ht="14.1" hidden="1" customHeight="1" x14ac:dyDescent="0.2"/>
    <row r="282" ht="14.1" hidden="1" customHeight="1" x14ac:dyDescent="0.2"/>
    <row r="283" ht="14.1" hidden="1" customHeight="1" x14ac:dyDescent="0.2"/>
    <row r="284" ht="14.1" hidden="1" customHeight="1" x14ac:dyDescent="0.2"/>
    <row r="285" ht="14.1" hidden="1" customHeight="1" x14ac:dyDescent="0.2"/>
    <row r="286" ht="14.1" hidden="1" customHeight="1" x14ac:dyDescent="0.2"/>
    <row r="287" ht="14.1" hidden="1" customHeight="1" x14ac:dyDescent="0.2"/>
    <row r="288" ht="14.1" hidden="1" customHeight="1" x14ac:dyDescent="0.2"/>
    <row r="289" ht="14.1" hidden="1" customHeight="1" x14ac:dyDescent="0.2"/>
    <row r="290" ht="14.1" hidden="1" customHeight="1" x14ac:dyDescent="0.2"/>
    <row r="291" ht="14.1" hidden="1" customHeight="1" x14ac:dyDescent="0.2"/>
    <row r="292" ht="14.1" hidden="1" customHeight="1" x14ac:dyDescent="0.2"/>
    <row r="293" ht="14.1" hidden="1" customHeight="1" x14ac:dyDescent="0.2"/>
    <row r="294" ht="14.1" hidden="1" customHeight="1" x14ac:dyDescent="0.2"/>
    <row r="295" ht="14.1" hidden="1" customHeight="1" x14ac:dyDescent="0.2"/>
    <row r="296" ht="14.1" hidden="1" customHeight="1" x14ac:dyDescent="0.2"/>
    <row r="297" ht="14.1" hidden="1" customHeight="1" x14ac:dyDescent="0.2"/>
    <row r="298" ht="14.1" hidden="1" customHeight="1" x14ac:dyDescent="0.2"/>
    <row r="299" ht="14.1" hidden="1" customHeight="1" x14ac:dyDescent="0.2"/>
    <row r="300" ht="14.1" hidden="1" customHeight="1" x14ac:dyDescent="0.2"/>
    <row r="301" ht="14.1" hidden="1" customHeight="1" x14ac:dyDescent="0.2"/>
    <row r="302" ht="14.1" hidden="1" customHeight="1" x14ac:dyDescent="0.2"/>
    <row r="303" ht="14.1" hidden="1" customHeight="1" x14ac:dyDescent="0.2"/>
    <row r="304" ht="14.1" hidden="1" customHeight="1" x14ac:dyDescent="0.2"/>
    <row r="305" ht="14.1" hidden="1" customHeight="1" x14ac:dyDescent="0.2"/>
    <row r="306" ht="14.1" hidden="1" customHeight="1" x14ac:dyDescent="0.2"/>
    <row r="307" ht="14.1" hidden="1" customHeight="1" x14ac:dyDescent="0.2"/>
    <row r="308" ht="14.1" hidden="1" customHeight="1" x14ac:dyDescent="0.2"/>
    <row r="309" ht="14.1" hidden="1" customHeight="1" x14ac:dyDescent="0.2"/>
    <row r="310" ht="14.1" hidden="1" customHeight="1" x14ac:dyDescent="0.2"/>
    <row r="311" ht="14.1" hidden="1" customHeight="1" x14ac:dyDescent="0.2"/>
    <row r="312" ht="14.1" hidden="1" customHeight="1" x14ac:dyDescent="0.2"/>
    <row r="313" ht="14.1" hidden="1" customHeight="1" x14ac:dyDescent="0.2"/>
    <row r="314" ht="14.1" hidden="1" customHeight="1" x14ac:dyDescent="0.2"/>
    <row r="315" ht="14.1" hidden="1" customHeight="1" x14ac:dyDescent="0.2"/>
    <row r="316" ht="14.1" hidden="1" customHeight="1" x14ac:dyDescent="0.2"/>
    <row r="317" ht="14.1" hidden="1" customHeight="1" x14ac:dyDescent="0.2"/>
    <row r="318" ht="14.1" hidden="1" customHeight="1" x14ac:dyDescent="0.2"/>
    <row r="319" ht="14.1" hidden="1" customHeight="1" x14ac:dyDescent="0.2"/>
    <row r="320" ht="14.1" hidden="1" customHeight="1" x14ac:dyDescent="0.2"/>
    <row r="321" ht="14.1" hidden="1" customHeight="1" x14ac:dyDescent="0.2"/>
    <row r="322" ht="14.1" hidden="1" customHeight="1" x14ac:dyDescent="0.2"/>
    <row r="323" ht="14.1" hidden="1" customHeight="1" x14ac:dyDescent="0.2"/>
    <row r="324" ht="14.1" hidden="1" customHeight="1" x14ac:dyDescent="0.2"/>
    <row r="325" ht="14.1" hidden="1" customHeight="1" x14ac:dyDescent="0.2"/>
    <row r="326" ht="14.1" hidden="1" customHeight="1" x14ac:dyDescent="0.2"/>
    <row r="327" ht="14.1" hidden="1" customHeight="1" x14ac:dyDescent="0.2"/>
    <row r="328" ht="14.1" hidden="1" customHeight="1" x14ac:dyDescent="0.2"/>
    <row r="329" ht="14.1" hidden="1" customHeight="1" x14ac:dyDescent="0.2"/>
    <row r="330" ht="14.1" hidden="1" customHeight="1" x14ac:dyDescent="0.2"/>
    <row r="331" ht="14.1" hidden="1" customHeight="1" x14ac:dyDescent="0.2"/>
    <row r="332" ht="14.1" hidden="1" customHeight="1" x14ac:dyDescent="0.2"/>
    <row r="333" ht="14.1" hidden="1" customHeight="1" x14ac:dyDescent="0.2"/>
    <row r="334" ht="14.1" hidden="1" customHeight="1" x14ac:dyDescent="0.2"/>
    <row r="335" ht="14.1" hidden="1" customHeight="1" x14ac:dyDescent="0.2"/>
    <row r="336" ht="14.1" hidden="1" customHeight="1" x14ac:dyDescent="0.2"/>
    <row r="337" ht="14.1" hidden="1" customHeight="1" x14ac:dyDescent="0.2"/>
    <row r="338" ht="14.1" hidden="1" customHeight="1" x14ac:dyDescent="0.2"/>
    <row r="339" ht="14.1" hidden="1" customHeight="1" x14ac:dyDescent="0.2"/>
    <row r="340" ht="14.1" hidden="1" customHeight="1" x14ac:dyDescent="0.2"/>
    <row r="341" ht="14.1" hidden="1" customHeight="1" x14ac:dyDescent="0.2"/>
    <row r="342" ht="14.1" hidden="1" customHeight="1" x14ac:dyDescent="0.2"/>
    <row r="343" ht="14.1" hidden="1" customHeight="1" x14ac:dyDescent="0.2"/>
    <row r="344" ht="14.1" hidden="1" customHeight="1" x14ac:dyDescent="0.2"/>
    <row r="345" ht="14.1" hidden="1" customHeight="1" x14ac:dyDescent="0.2"/>
    <row r="346" ht="14.1" hidden="1" customHeight="1" x14ac:dyDescent="0.2"/>
    <row r="347" ht="14.1" hidden="1" customHeight="1" x14ac:dyDescent="0.2"/>
    <row r="348" ht="14.1" hidden="1" customHeight="1" x14ac:dyDescent="0.2"/>
    <row r="349" ht="14.1" hidden="1" customHeight="1" x14ac:dyDescent="0.2"/>
    <row r="350" ht="14.1" hidden="1" customHeight="1" x14ac:dyDescent="0.2"/>
    <row r="351" ht="14.1" hidden="1" customHeight="1" x14ac:dyDescent="0.2"/>
    <row r="352" ht="14.1" hidden="1" customHeight="1" x14ac:dyDescent="0.2"/>
    <row r="353" ht="14.1" hidden="1" customHeight="1" x14ac:dyDescent="0.2"/>
    <row r="354" ht="14.1" hidden="1" customHeight="1" x14ac:dyDescent="0.2"/>
    <row r="355" ht="14.1" hidden="1" customHeight="1" x14ac:dyDescent="0.2"/>
    <row r="356" ht="14.1" hidden="1" customHeight="1" x14ac:dyDescent="0.2"/>
    <row r="357" ht="14.1" hidden="1" customHeight="1" x14ac:dyDescent="0.2"/>
    <row r="358" ht="14.1" hidden="1" customHeight="1" x14ac:dyDescent="0.2"/>
    <row r="359" ht="14.1" hidden="1" customHeight="1" x14ac:dyDescent="0.2"/>
    <row r="360" ht="14.1" hidden="1" customHeight="1" x14ac:dyDescent="0.2"/>
    <row r="361" ht="14.1" hidden="1" customHeight="1" x14ac:dyDescent="0.2"/>
    <row r="362" ht="14.1" hidden="1" customHeight="1" x14ac:dyDescent="0.2"/>
    <row r="363" ht="14.1" hidden="1" customHeight="1" x14ac:dyDescent="0.2"/>
    <row r="364" ht="14.1" hidden="1" customHeight="1" x14ac:dyDescent="0.2"/>
    <row r="365" ht="14.1" hidden="1" customHeight="1" x14ac:dyDescent="0.2"/>
    <row r="366" ht="14.1" hidden="1" customHeight="1" x14ac:dyDescent="0.2"/>
    <row r="367" ht="14.1" hidden="1" customHeight="1" x14ac:dyDescent="0.2"/>
    <row r="368" ht="14.1" hidden="1" customHeight="1" x14ac:dyDescent="0.2"/>
    <row r="369" ht="14.1" hidden="1" customHeight="1" x14ac:dyDescent="0.2"/>
    <row r="370" ht="14.1" hidden="1" customHeight="1" x14ac:dyDescent="0.2"/>
    <row r="371" ht="14.1" hidden="1" customHeight="1" x14ac:dyDescent="0.2"/>
    <row r="372" ht="14.1" hidden="1" customHeight="1" x14ac:dyDescent="0.2"/>
    <row r="373" ht="14.1" hidden="1" customHeight="1" x14ac:dyDescent="0.2"/>
    <row r="374" ht="14.1" hidden="1" customHeight="1" x14ac:dyDescent="0.2"/>
    <row r="375" ht="14.1" hidden="1" customHeight="1" x14ac:dyDescent="0.2"/>
    <row r="376" ht="14.1" hidden="1" customHeight="1" x14ac:dyDescent="0.2"/>
    <row r="377" ht="14.1" hidden="1" customHeight="1" x14ac:dyDescent="0.2"/>
    <row r="378" ht="14.1" hidden="1" customHeight="1" x14ac:dyDescent="0.2"/>
    <row r="379" ht="14.1" hidden="1" customHeight="1" x14ac:dyDescent="0.2"/>
    <row r="380" ht="14.1" hidden="1" customHeight="1" x14ac:dyDescent="0.2"/>
    <row r="381" ht="14.1" hidden="1" customHeight="1" x14ac:dyDescent="0.2"/>
    <row r="382" ht="14.1" hidden="1" customHeight="1" x14ac:dyDescent="0.2"/>
    <row r="383" ht="14.1" hidden="1" customHeight="1" x14ac:dyDescent="0.2"/>
    <row r="384" ht="14.1" hidden="1" customHeight="1" x14ac:dyDescent="0.2"/>
    <row r="385" ht="14.1" hidden="1" customHeight="1" x14ac:dyDescent="0.2"/>
    <row r="386" ht="14.1" hidden="1" customHeight="1" x14ac:dyDescent="0.2"/>
    <row r="387" ht="14.1" hidden="1" customHeight="1" x14ac:dyDescent="0.2"/>
    <row r="388" ht="14.1" hidden="1" customHeight="1" x14ac:dyDescent="0.2"/>
    <row r="389" ht="14.1" hidden="1" customHeight="1" x14ac:dyDescent="0.2"/>
    <row r="390" ht="14.1" hidden="1" customHeight="1" x14ac:dyDescent="0.2"/>
    <row r="391" ht="14.1" hidden="1" customHeight="1" x14ac:dyDescent="0.2"/>
    <row r="392" ht="14.1" hidden="1" customHeight="1" x14ac:dyDescent="0.2"/>
    <row r="393" ht="14.1" hidden="1" customHeight="1" x14ac:dyDescent="0.2"/>
    <row r="394" ht="14.1" hidden="1" customHeight="1" x14ac:dyDescent="0.2"/>
    <row r="395" ht="14.1" hidden="1" customHeight="1" x14ac:dyDescent="0.2"/>
    <row r="396" ht="14.1" hidden="1" customHeight="1" x14ac:dyDescent="0.2"/>
    <row r="397" ht="14.1" hidden="1" customHeight="1" x14ac:dyDescent="0.2"/>
    <row r="398" ht="14.1" hidden="1" customHeight="1" x14ac:dyDescent="0.2"/>
    <row r="399" ht="14.1" hidden="1" customHeight="1" x14ac:dyDescent="0.2"/>
    <row r="400" ht="14.1" hidden="1" customHeight="1" x14ac:dyDescent="0.2"/>
    <row r="401" ht="14.1" hidden="1" customHeight="1" x14ac:dyDescent="0.2"/>
    <row r="402" ht="14.1" hidden="1" customHeight="1" x14ac:dyDescent="0.2"/>
    <row r="403" ht="14.1" hidden="1" customHeight="1" x14ac:dyDescent="0.2"/>
    <row r="404" ht="14.1" hidden="1" customHeight="1" x14ac:dyDescent="0.2"/>
    <row r="405" ht="14.1" hidden="1" customHeight="1" x14ac:dyDescent="0.2"/>
    <row r="406" ht="14.1" hidden="1" customHeight="1" x14ac:dyDescent="0.2"/>
    <row r="407" ht="14.1" hidden="1" customHeight="1" x14ac:dyDescent="0.2"/>
    <row r="408" ht="14.1" hidden="1" customHeight="1" x14ac:dyDescent="0.2"/>
    <row r="409" ht="14.1" hidden="1" customHeight="1" x14ac:dyDescent="0.2"/>
    <row r="410" ht="14.1" hidden="1" customHeight="1" x14ac:dyDescent="0.2"/>
    <row r="411" ht="14.1" hidden="1" customHeight="1" x14ac:dyDescent="0.2"/>
    <row r="412" ht="14.1" hidden="1" customHeight="1" x14ac:dyDescent="0.2"/>
    <row r="413" ht="14.1" hidden="1" customHeight="1" x14ac:dyDescent="0.2"/>
    <row r="414" ht="14.1" hidden="1" customHeight="1" x14ac:dyDescent="0.2"/>
    <row r="415" ht="14.1" hidden="1" customHeight="1" x14ac:dyDescent="0.2"/>
    <row r="416" ht="14.1" hidden="1" customHeight="1" x14ac:dyDescent="0.2"/>
    <row r="417" ht="14.1" hidden="1" customHeight="1" x14ac:dyDescent="0.2"/>
    <row r="418" ht="14.1" hidden="1" customHeight="1" x14ac:dyDescent="0.2"/>
    <row r="419" ht="14.1" hidden="1" customHeight="1" x14ac:dyDescent="0.2"/>
    <row r="420" ht="14.1" hidden="1" customHeight="1" x14ac:dyDescent="0.2"/>
    <row r="421" ht="14.1" hidden="1" customHeight="1" x14ac:dyDescent="0.2"/>
    <row r="422" ht="14.1" hidden="1" customHeight="1" x14ac:dyDescent="0.2"/>
    <row r="423" ht="14.1" hidden="1" customHeight="1" x14ac:dyDescent="0.2"/>
    <row r="424" ht="14.1" hidden="1" customHeight="1" x14ac:dyDescent="0.2"/>
    <row r="425" ht="14.1" hidden="1" customHeight="1" x14ac:dyDescent="0.2"/>
    <row r="426" ht="14.1" hidden="1" customHeight="1" x14ac:dyDescent="0.2"/>
    <row r="427" ht="14.1" hidden="1" customHeight="1" x14ac:dyDescent="0.2"/>
    <row r="428" ht="14.1" hidden="1" customHeight="1" x14ac:dyDescent="0.2"/>
    <row r="429" ht="14.1" hidden="1" customHeight="1" x14ac:dyDescent="0.2"/>
    <row r="430" ht="14.1" hidden="1" customHeight="1" x14ac:dyDescent="0.2"/>
    <row r="431" ht="14.1" hidden="1" customHeight="1" x14ac:dyDescent="0.2"/>
    <row r="432" ht="14.1" hidden="1" customHeight="1" x14ac:dyDescent="0.2"/>
    <row r="433" ht="14.1" hidden="1" customHeight="1" x14ac:dyDescent="0.2"/>
    <row r="434" ht="14.1" hidden="1" customHeight="1" x14ac:dyDescent="0.2"/>
    <row r="435" ht="14.1" hidden="1" customHeight="1" x14ac:dyDescent="0.2"/>
    <row r="436" ht="14.1" hidden="1" customHeight="1" x14ac:dyDescent="0.2"/>
    <row r="437" ht="14.1" hidden="1" customHeight="1" x14ac:dyDescent="0.2"/>
    <row r="438" ht="14.1" hidden="1" customHeight="1" x14ac:dyDescent="0.2"/>
    <row r="439" ht="14.1" hidden="1" customHeight="1" x14ac:dyDescent="0.2"/>
    <row r="440" ht="14.1" hidden="1" customHeight="1" x14ac:dyDescent="0.2"/>
    <row r="441" ht="14.1" hidden="1" customHeight="1" x14ac:dyDescent="0.2"/>
    <row r="442" ht="14.1" hidden="1" customHeight="1" x14ac:dyDescent="0.2"/>
    <row r="443" ht="14.1" hidden="1" customHeight="1" x14ac:dyDescent="0.2"/>
    <row r="444" ht="14.1" hidden="1" customHeight="1" x14ac:dyDescent="0.2"/>
    <row r="445" ht="14.1" hidden="1" customHeight="1" x14ac:dyDescent="0.2"/>
    <row r="446" ht="14.1" hidden="1" customHeight="1" x14ac:dyDescent="0.2"/>
    <row r="447" ht="14.1" hidden="1" customHeight="1" x14ac:dyDescent="0.2"/>
    <row r="448" ht="14.1" hidden="1" customHeight="1" x14ac:dyDescent="0.2"/>
    <row r="449" ht="14.1" hidden="1" customHeight="1" x14ac:dyDescent="0.2"/>
    <row r="450" ht="14.1" hidden="1" customHeight="1" x14ac:dyDescent="0.2"/>
    <row r="451" ht="14.1" hidden="1" customHeight="1" x14ac:dyDescent="0.2"/>
    <row r="452" ht="14.1" hidden="1" customHeight="1" x14ac:dyDescent="0.2"/>
    <row r="453" ht="14.1" hidden="1" customHeight="1" x14ac:dyDescent="0.2"/>
    <row r="454" ht="14.1" hidden="1" customHeight="1" x14ac:dyDescent="0.2"/>
    <row r="455" ht="14.1" hidden="1" customHeight="1" x14ac:dyDescent="0.2"/>
    <row r="456" ht="14.1" hidden="1" customHeight="1" x14ac:dyDescent="0.2"/>
    <row r="457" ht="14.1" hidden="1" customHeight="1" x14ac:dyDescent="0.2"/>
    <row r="458" ht="14.1" hidden="1" customHeight="1" x14ac:dyDescent="0.2"/>
    <row r="459" ht="14.1" hidden="1" customHeight="1" x14ac:dyDescent="0.2"/>
    <row r="460" ht="14.1" hidden="1" customHeight="1" x14ac:dyDescent="0.2"/>
    <row r="461" ht="14.1" hidden="1" customHeight="1" x14ac:dyDescent="0.2"/>
    <row r="462" ht="14.1" hidden="1" customHeight="1" x14ac:dyDescent="0.2"/>
    <row r="463" ht="14.1" hidden="1" customHeight="1" x14ac:dyDescent="0.2"/>
    <row r="464" ht="14.1" hidden="1" customHeight="1" x14ac:dyDescent="0.2"/>
    <row r="465" ht="14.1" hidden="1" customHeight="1" x14ac:dyDescent="0.2"/>
    <row r="466" ht="14.1" hidden="1" customHeight="1" x14ac:dyDescent="0.2"/>
    <row r="467" ht="14.1" hidden="1" customHeight="1" x14ac:dyDescent="0.2"/>
    <row r="468" ht="14.1" hidden="1" customHeight="1" x14ac:dyDescent="0.2"/>
    <row r="469" ht="14.1" hidden="1" customHeight="1" x14ac:dyDescent="0.2"/>
    <row r="470" ht="14.1" hidden="1" customHeight="1" x14ac:dyDescent="0.2"/>
    <row r="471" ht="14.1" hidden="1" customHeight="1" x14ac:dyDescent="0.2"/>
    <row r="472" ht="14.1" hidden="1" customHeight="1" x14ac:dyDescent="0.2"/>
    <row r="473" ht="14.1" hidden="1" customHeight="1" x14ac:dyDescent="0.2"/>
    <row r="474" ht="14.1" hidden="1" customHeight="1" x14ac:dyDescent="0.2"/>
    <row r="475" ht="14.1" hidden="1" customHeight="1" x14ac:dyDescent="0.2"/>
    <row r="476" ht="14.1" hidden="1" customHeight="1" x14ac:dyDescent="0.2"/>
    <row r="477" ht="14.1" hidden="1" customHeight="1" x14ac:dyDescent="0.2"/>
    <row r="478" ht="14.1" hidden="1" customHeight="1" x14ac:dyDescent="0.2"/>
    <row r="479" ht="14.1" hidden="1" customHeight="1" x14ac:dyDescent="0.2"/>
    <row r="480" ht="14.1" hidden="1" customHeight="1" x14ac:dyDescent="0.2"/>
    <row r="481" ht="14.1" hidden="1" customHeight="1" x14ac:dyDescent="0.2"/>
    <row r="482" ht="14.1" hidden="1" customHeight="1" x14ac:dyDescent="0.2"/>
    <row r="483" ht="14.1" hidden="1" customHeight="1" x14ac:dyDescent="0.2"/>
    <row r="484" ht="14.1" hidden="1" customHeight="1" x14ac:dyDescent="0.2"/>
    <row r="485" ht="14.1" hidden="1" customHeight="1" x14ac:dyDescent="0.2"/>
    <row r="486" ht="14.1" hidden="1" customHeight="1" x14ac:dyDescent="0.2"/>
    <row r="487" ht="14.1" hidden="1" customHeight="1" x14ac:dyDescent="0.2"/>
    <row r="488" ht="14.1" hidden="1" customHeight="1" x14ac:dyDescent="0.2"/>
    <row r="489" ht="14.1" hidden="1" customHeight="1" x14ac:dyDescent="0.2"/>
    <row r="490" ht="14.1" hidden="1" customHeight="1" x14ac:dyDescent="0.2"/>
    <row r="491" ht="14.1" hidden="1" customHeight="1" x14ac:dyDescent="0.2"/>
    <row r="492" ht="14.1" hidden="1" customHeight="1" x14ac:dyDescent="0.2"/>
    <row r="493" ht="14.1" hidden="1" customHeight="1" x14ac:dyDescent="0.2"/>
    <row r="494" ht="14.1" hidden="1" customHeight="1" x14ac:dyDescent="0.2"/>
    <row r="495" ht="14.1" hidden="1" customHeight="1" x14ac:dyDescent="0.2"/>
    <row r="496" ht="14.1" hidden="1" customHeight="1" x14ac:dyDescent="0.2"/>
    <row r="497" ht="14.1" hidden="1" customHeight="1" x14ac:dyDescent="0.2"/>
    <row r="498" ht="14.1" hidden="1" customHeight="1" x14ac:dyDescent="0.2"/>
    <row r="499" ht="14.1" hidden="1" customHeight="1" x14ac:dyDescent="0.2"/>
    <row r="500" ht="14.1" hidden="1" customHeight="1" x14ac:dyDescent="0.2"/>
    <row r="501" ht="14.1" hidden="1" customHeight="1" x14ac:dyDescent="0.2"/>
    <row r="502" ht="14.1" hidden="1" customHeight="1" x14ac:dyDescent="0.2"/>
    <row r="503" ht="14.1" hidden="1" customHeight="1" x14ac:dyDescent="0.2"/>
    <row r="504" ht="14.1" hidden="1" customHeight="1" x14ac:dyDescent="0.2"/>
    <row r="505" ht="14.1" hidden="1" customHeight="1" x14ac:dyDescent="0.2"/>
    <row r="506" ht="14.1" hidden="1" customHeight="1" x14ac:dyDescent="0.2"/>
    <row r="507" ht="14.1" hidden="1" customHeight="1" x14ac:dyDescent="0.2"/>
    <row r="508" ht="14.1" hidden="1" customHeight="1" x14ac:dyDescent="0.2"/>
    <row r="509" ht="14.1" hidden="1" customHeight="1" x14ac:dyDescent="0.2"/>
    <row r="510" ht="14.1" hidden="1" customHeight="1" x14ac:dyDescent="0.2"/>
    <row r="511" ht="14.1" hidden="1" customHeight="1" x14ac:dyDescent="0.2"/>
    <row r="512" ht="14.1" hidden="1" customHeight="1" x14ac:dyDescent="0.2"/>
    <row r="513" ht="14.1" hidden="1" customHeight="1" x14ac:dyDescent="0.2"/>
    <row r="514" ht="14.1" hidden="1" customHeight="1" x14ac:dyDescent="0.2"/>
    <row r="515" ht="14.1" hidden="1" customHeight="1" x14ac:dyDescent="0.2"/>
    <row r="516" ht="14.1" hidden="1" customHeight="1" x14ac:dyDescent="0.2"/>
    <row r="517" ht="14.1" hidden="1" customHeight="1" x14ac:dyDescent="0.2"/>
    <row r="518" ht="14.1" hidden="1" customHeight="1" x14ac:dyDescent="0.2"/>
    <row r="519" ht="14.1" hidden="1" customHeight="1" x14ac:dyDescent="0.2"/>
    <row r="520" ht="14.1" hidden="1" customHeight="1" x14ac:dyDescent="0.2"/>
    <row r="521" ht="14.1" hidden="1" customHeight="1" x14ac:dyDescent="0.2"/>
    <row r="522" ht="14.1" hidden="1" customHeight="1" x14ac:dyDescent="0.2"/>
    <row r="523" ht="14.1" hidden="1" customHeight="1" x14ac:dyDescent="0.2"/>
    <row r="524" ht="14.1" hidden="1" customHeight="1" x14ac:dyDescent="0.2"/>
    <row r="525" ht="14.1" hidden="1" customHeight="1" x14ac:dyDescent="0.2"/>
    <row r="526" ht="14.1" hidden="1" customHeight="1" x14ac:dyDescent="0.2"/>
    <row r="527" ht="14.1" hidden="1" customHeight="1" x14ac:dyDescent="0.2"/>
    <row r="528" ht="14.1" hidden="1" customHeight="1" x14ac:dyDescent="0.2"/>
    <row r="529" ht="14.1" hidden="1" customHeight="1" x14ac:dyDescent="0.2"/>
    <row r="530" ht="14.1" hidden="1" customHeight="1" x14ac:dyDescent="0.2"/>
    <row r="531" ht="14.1" hidden="1" customHeight="1" x14ac:dyDescent="0.2"/>
    <row r="532" ht="14.1" hidden="1" customHeight="1" x14ac:dyDescent="0.2"/>
    <row r="533" ht="14.1" hidden="1" customHeight="1" x14ac:dyDescent="0.2"/>
    <row r="534" ht="14.1" hidden="1" customHeight="1" x14ac:dyDescent="0.2"/>
    <row r="535" ht="14.1" hidden="1" customHeight="1" x14ac:dyDescent="0.2"/>
    <row r="536" ht="14.1" hidden="1" customHeight="1" x14ac:dyDescent="0.2"/>
    <row r="537" ht="14.1" hidden="1" customHeight="1" x14ac:dyDescent="0.2"/>
    <row r="538" ht="14.1" hidden="1" customHeight="1" x14ac:dyDescent="0.2"/>
    <row r="539" ht="14.1" hidden="1" customHeight="1" x14ac:dyDescent="0.2"/>
    <row r="540" ht="14.1" hidden="1" customHeight="1" x14ac:dyDescent="0.2"/>
    <row r="541" ht="14.1" hidden="1" customHeight="1" x14ac:dyDescent="0.2"/>
    <row r="542" ht="14.1" hidden="1" customHeight="1" x14ac:dyDescent="0.2"/>
    <row r="543" ht="14.1" hidden="1" customHeight="1" x14ac:dyDescent="0.2"/>
    <row r="544" ht="14.1" hidden="1" customHeight="1" x14ac:dyDescent="0.2"/>
    <row r="545" ht="14.1" hidden="1" customHeight="1" x14ac:dyDescent="0.2"/>
    <row r="546" ht="14.1" hidden="1" customHeight="1" x14ac:dyDescent="0.2"/>
    <row r="547" ht="14.1" hidden="1" customHeight="1" x14ac:dyDescent="0.2"/>
    <row r="548" ht="14.1" hidden="1" customHeight="1" x14ac:dyDescent="0.2"/>
    <row r="549" ht="14.1" hidden="1" customHeight="1" x14ac:dyDescent="0.2"/>
    <row r="550" ht="14.1" hidden="1" customHeight="1" x14ac:dyDescent="0.2"/>
    <row r="551" ht="14.1" hidden="1" customHeight="1" x14ac:dyDescent="0.2"/>
    <row r="552" ht="14.1" hidden="1" customHeight="1" x14ac:dyDescent="0.2"/>
    <row r="553" ht="14.1" hidden="1" customHeight="1" x14ac:dyDescent="0.2"/>
    <row r="554" ht="14.1" hidden="1" customHeight="1" x14ac:dyDescent="0.2"/>
    <row r="555" ht="14.1" hidden="1" customHeight="1" x14ac:dyDescent="0.2"/>
    <row r="556" ht="14.1" hidden="1" customHeight="1" x14ac:dyDescent="0.2"/>
    <row r="557" ht="14.1" hidden="1" customHeight="1" x14ac:dyDescent="0.2"/>
    <row r="558" ht="14.1" hidden="1" customHeight="1" x14ac:dyDescent="0.2"/>
    <row r="559" ht="14.1" hidden="1" customHeight="1" x14ac:dyDescent="0.2"/>
    <row r="560" ht="14.1" hidden="1" customHeight="1" x14ac:dyDescent="0.2"/>
    <row r="561" ht="14.1" hidden="1" customHeight="1" x14ac:dyDescent="0.2"/>
    <row r="562" ht="14.1" hidden="1" customHeight="1" x14ac:dyDescent="0.2"/>
    <row r="563" ht="14.1" hidden="1" customHeight="1" x14ac:dyDescent="0.2"/>
    <row r="564" ht="14.1" hidden="1" customHeight="1" x14ac:dyDescent="0.2"/>
    <row r="565" ht="14.1" hidden="1" customHeight="1" x14ac:dyDescent="0.2"/>
    <row r="566" ht="14.1" hidden="1" customHeight="1" x14ac:dyDescent="0.2"/>
    <row r="567" ht="14.1" hidden="1" customHeight="1" x14ac:dyDescent="0.2"/>
    <row r="568" ht="14.1" hidden="1" customHeight="1" x14ac:dyDescent="0.2"/>
    <row r="569" ht="14.1" hidden="1" customHeight="1" x14ac:dyDescent="0.2"/>
    <row r="570" ht="14.1" hidden="1" customHeight="1" x14ac:dyDescent="0.2"/>
    <row r="571" ht="14.1" hidden="1" customHeight="1" x14ac:dyDescent="0.2"/>
    <row r="572" ht="14.1" hidden="1" customHeight="1" x14ac:dyDescent="0.2"/>
    <row r="573" ht="14.1" hidden="1" customHeight="1" x14ac:dyDescent="0.2"/>
    <row r="574" ht="14.1" hidden="1" customHeight="1" x14ac:dyDescent="0.2"/>
    <row r="575" ht="14.1" hidden="1" customHeight="1" x14ac:dyDescent="0.2"/>
    <row r="576" ht="14.1" hidden="1" customHeight="1" x14ac:dyDescent="0.2"/>
    <row r="577" ht="14.1" hidden="1" customHeight="1" x14ac:dyDescent="0.2"/>
    <row r="578" ht="14.1" hidden="1" customHeight="1" x14ac:dyDescent="0.2"/>
    <row r="579" ht="14.1" hidden="1" customHeight="1" x14ac:dyDescent="0.2"/>
    <row r="580" ht="14.1" hidden="1" customHeight="1" x14ac:dyDescent="0.2"/>
    <row r="581" ht="14.1" hidden="1" customHeight="1" x14ac:dyDescent="0.2"/>
    <row r="582" ht="14.1" hidden="1" customHeight="1" x14ac:dyDescent="0.2"/>
    <row r="583" ht="14.1" hidden="1" customHeight="1" x14ac:dyDescent="0.2"/>
    <row r="584" ht="14.1" hidden="1" customHeight="1" x14ac:dyDescent="0.2"/>
    <row r="585" ht="14.1" hidden="1" customHeight="1" x14ac:dyDescent="0.2"/>
    <row r="586" ht="14.1" hidden="1" customHeight="1" x14ac:dyDescent="0.2"/>
    <row r="587" ht="14.1" hidden="1" customHeight="1" x14ac:dyDescent="0.2"/>
    <row r="588" ht="14.1" hidden="1" customHeight="1" x14ac:dyDescent="0.2"/>
    <row r="589" ht="14.1" hidden="1" customHeight="1" x14ac:dyDescent="0.2"/>
    <row r="590" ht="14.1" hidden="1" customHeight="1" x14ac:dyDescent="0.2"/>
    <row r="591" ht="14.1" hidden="1" customHeight="1" x14ac:dyDescent="0.2"/>
    <row r="592" ht="14.1" hidden="1" customHeight="1" x14ac:dyDescent="0.2"/>
    <row r="593" ht="14.1" hidden="1" customHeight="1" x14ac:dyDescent="0.2"/>
    <row r="594" ht="14.1" hidden="1" customHeight="1" x14ac:dyDescent="0.2"/>
    <row r="595" ht="14.1" hidden="1" customHeight="1" x14ac:dyDescent="0.2"/>
    <row r="596" ht="14.1" hidden="1" customHeight="1" x14ac:dyDescent="0.2"/>
    <row r="597" ht="14.1" hidden="1" customHeight="1" x14ac:dyDescent="0.2"/>
    <row r="598" ht="14.1" hidden="1" customHeight="1" x14ac:dyDescent="0.2"/>
    <row r="599" ht="14.1" hidden="1" customHeight="1" x14ac:dyDescent="0.2"/>
    <row r="600" ht="14.1" hidden="1" customHeight="1" x14ac:dyDescent="0.2"/>
    <row r="601" ht="14.1" hidden="1" customHeight="1" x14ac:dyDescent="0.2"/>
    <row r="602" ht="14.1" hidden="1" customHeight="1" x14ac:dyDescent="0.2"/>
    <row r="603" ht="14.1" hidden="1" customHeight="1" x14ac:dyDescent="0.2"/>
    <row r="604" ht="14.1" hidden="1" customHeight="1" x14ac:dyDescent="0.2"/>
    <row r="605" ht="14.1" hidden="1" customHeight="1" x14ac:dyDescent="0.2"/>
    <row r="606" ht="14.1" hidden="1" customHeight="1" x14ac:dyDescent="0.2"/>
    <row r="607" ht="14.1" hidden="1" customHeight="1" x14ac:dyDescent="0.2"/>
    <row r="608" ht="14.1" hidden="1" customHeight="1" x14ac:dyDescent="0.2"/>
    <row r="609" ht="14.1" hidden="1" customHeight="1" x14ac:dyDescent="0.2"/>
    <row r="610" ht="14.1" hidden="1" customHeight="1" x14ac:dyDescent="0.2"/>
    <row r="611" ht="14.1" hidden="1" customHeight="1" x14ac:dyDescent="0.2"/>
    <row r="612" ht="14.1" hidden="1" customHeight="1" x14ac:dyDescent="0.2"/>
    <row r="613" ht="14.1" hidden="1" customHeight="1" x14ac:dyDescent="0.2"/>
    <row r="614" ht="14.1" hidden="1" customHeight="1" x14ac:dyDescent="0.2"/>
    <row r="615" ht="14.1" hidden="1" customHeight="1" x14ac:dyDescent="0.2"/>
    <row r="616" ht="14.1" hidden="1" customHeight="1" x14ac:dyDescent="0.2"/>
    <row r="617" ht="14.1" hidden="1" customHeight="1" x14ac:dyDescent="0.2"/>
    <row r="618" ht="14.1" hidden="1" customHeight="1" x14ac:dyDescent="0.2"/>
    <row r="619" ht="14.1" hidden="1" customHeight="1" x14ac:dyDescent="0.2"/>
    <row r="620" ht="14.1" hidden="1" customHeight="1" x14ac:dyDescent="0.2"/>
    <row r="621" ht="14.1" hidden="1" customHeight="1" x14ac:dyDescent="0.2"/>
    <row r="622" ht="14.1" hidden="1" customHeight="1" x14ac:dyDescent="0.2"/>
    <row r="623" ht="14.1" hidden="1" customHeight="1" x14ac:dyDescent="0.2"/>
    <row r="624" ht="14.1" hidden="1" customHeight="1" x14ac:dyDescent="0.2"/>
    <row r="625" ht="14.1" hidden="1" customHeight="1" x14ac:dyDescent="0.2"/>
    <row r="626" ht="14.1" hidden="1" customHeight="1" x14ac:dyDescent="0.2"/>
    <row r="627" ht="14.1" hidden="1" customHeight="1" x14ac:dyDescent="0.2"/>
    <row r="628" ht="14.1" hidden="1" customHeight="1" x14ac:dyDescent="0.2"/>
    <row r="629" ht="14.1" hidden="1" customHeight="1" x14ac:dyDescent="0.2"/>
    <row r="630" ht="14.1" hidden="1" customHeight="1" x14ac:dyDescent="0.2"/>
    <row r="631" ht="14.1" hidden="1" customHeight="1" x14ac:dyDescent="0.2"/>
    <row r="632" ht="14.1" hidden="1" customHeight="1" x14ac:dyDescent="0.2"/>
    <row r="633" ht="14.1" hidden="1" customHeight="1" x14ac:dyDescent="0.2"/>
    <row r="634" ht="14.1" hidden="1" customHeight="1" x14ac:dyDescent="0.2"/>
    <row r="635" ht="14.1" hidden="1" customHeight="1" x14ac:dyDescent="0.2"/>
    <row r="636" ht="14.1" hidden="1" customHeight="1" x14ac:dyDescent="0.2"/>
    <row r="637" ht="14.1" hidden="1" customHeight="1" x14ac:dyDescent="0.2"/>
    <row r="638" ht="14.1" hidden="1" customHeight="1" x14ac:dyDescent="0.2"/>
    <row r="639" ht="14.1" hidden="1" customHeight="1" x14ac:dyDescent="0.2"/>
    <row r="640" ht="14.1" hidden="1" customHeight="1" x14ac:dyDescent="0.2"/>
    <row r="641" ht="14.1" hidden="1" customHeight="1" x14ac:dyDescent="0.2"/>
    <row r="642" ht="14.1" hidden="1" customHeight="1" x14ac:dyDescent="0.2"/>
    <row r="643" ht="14.1" hidden="1" customHeight="1" x14ac:dyDescent="0.2"/>
    <row r="644" ht="14.1" hidden="1" customHeight="1" x14ac:dyDescent="0.2"/>
    <row r="645" ht="14.1" hidden="1" customHeight="1" x14ac:dyDescent="0.2"/>
    <row r="646" ht="14.1" hidden="1" customHeight="1" x14ac:dyDescent="0.2"/>
    <row r="647" ht="14.1" hidden="1" customHeight="1" x14ac:dyDescent="0.2"/>
    <row r="648" ht="14.1" hidden="1" customHeight="1" x14ac:dyDescent="0.2"/>
    <row r="649" ht="14.1" hidden="1" customHeight="1" x14ac:dyDescent="0.2"/>
    <row r="650" ht="14.1" hidden="1" customHeight="1" x14ac:dyDescent="0.2"/>
    <row r="651" ht="14.1" hidden="1" customHeight="1" x14ac:dyDescent="0.2"/>
    <row r="652" ht="14.1" hidden="1" customHeight="1" x14ac:dyDescent="0.2"/>
    <row r="653" ht="14.1" hidden="1" customHeight="1" x14ac:dyDescent="0.2"/>
    <row r="654" ht="14.1" hidden="1" customHeight="1" x14ac:dyDescent="0.2"/>
    <row r="655" ht="14.1" hidden="1" customHeight="1" x14ac:dyDescent="0.2"/>
    <row r="656" ht="14.1" hidden="1" customHeight="1" x14ac:dyDescent="0.2"/>
    <row r="657" ht="14.1" hidden="1" customHeight="1" x14ac:dyDescent="0.2"/>
    <row r="658" ht="14.1" hidden="1" customHeight="1" x14ac:dyDescent="0.2"/>
    <row r="659" ht="14.1" hidden="1" customHeight="1" x14ac:dyDescent="0.2"/>
    <row r="660" ht="14.1" hidden="1" customHeight="1" x14ac:dyDescent="0.2"/>
    <row r="661" ht="14.1" hidden="1" customHeight="1" x14ac:dyDescent="0.2"/>
    <row r="662" ht="14.1" hidden="1" customHeight="1" x14ac:dyDescent="0.2"/>
    <row r="663" ht="14.1" hidden="1" customHeight="1" x14ac:dyDescent="0.2"/>
    <row r="664" ht="14.1" hidden="1" customHeight="1" x14ac:dyDescent="0.2"/>
    <row r="665" ht="14.1" hidden="1" customHeight="1" x14ac:dyDescent="0.2"/>
    <row r="666" ht="14.1" hidden="1" customHeight="1" x14ac:dyDescent="0.2"/>
    <row r="667" ht="14.1" hidden="1" customHeight="1" x14ac:dyDescent="0.2"/>
    <row r="668" ht="14.1" hidden="1" customHeight="1" x14ac:dyDescent="0.2"/>
    <row r="669" ht="14.1" hidden="1" customHeight="1" x14ac:dyDescent="0.2"/>
    <row r="670" ht="14.1" hidden="1" customHeight="1" x14ac:dyDescent="0.2"/>
    <row r="671" ht="14.1" hidden="1" customHeight="1" x14ac:dyDescent="0.2"/>
    <row r="672" ht="14.1" hidden="1" customHeight="1" x14ac:dyDescent="0.2"/>
    <row r="673" ht="14.1" hidden="1" customHeight="1" x14ac:dyDescent="0.2"/>
    <row r="674" ht="14.1" hidden="1" customHeight="1" x14ac:dyDescent="0.2"/>
    <row r="675" ht="14.1" hidden="1" customHeight="1" x14ac:dyDescent="0.2"/>
    <row r="676" ht="14.1" hidden="1" customHeight="1" x14ac:dyDescent="0.2"/>
    <row r="677" ht="14.1" hidden="1" customHeight="1" x14ac:dyDescent="0.2"/>
    <row r="678" ht="14.1" hidden="1" customHeight="1" x14ac:dyDescent="0.2"/>
    <row r="679" ht="14.1" hidden="1" customHeight="1" x14ac:dyDescent="0.2"/>
    <row r="680" ht="14.1" hidden="1" customHeight="1" x14ac:dyDescent="0.2"/>
    <row r="681" ht="14.1" hidden="1" customHeight="1" x14ac:dyDescent="0.2"/>
    <row r="682" ht="14.1" hidden="1" customHeight="1" x14ac:dyDescent="0.2"/>
    <row r="683" ht="14.1" hidden="1" customHeight="1" x14ac:dyDescent="0.2"/>
    <row r="684" ht="14.1" hidden="1" customHeight="1" x14ac:dyDescent="0.2"/>
    <row r="685" ht="14.1" hidden="1" customHeight="1" x14ac:dyDescent="0.2"/>
    <row r="686" ht="14.1" hidden="1" customHeight="1" x14ac:dyDescent="0.2"/>
    <row r="687" ht="14.1" hidden="1" customHeight="1" x14ac:dyDescent="0.2"/>
    <row r="688" ht="14.1" hidden="1" customHeight="1" x14ac:dyDescent="0.2"/>
    <row r="689" ht="14.1" hidden="1" customHeight="1" x14ac:dyDescent="0.2"/>
    <row r="690" ht="14.1" hidden="1" customHeight="1" x14ac:dyDescent="0.2"/>
    <row r="691" ht="14.1" hidden="1" customHeight="1" x14ac:dyDescent="0.2"/>
    <row r="692" ht="14.1" hidden="1" customHeight="1" x14ac:dyDescent="0.2"/>
    <row r="693" ht="14.1" hidden="1" customHeight="1" x14ac:dyDescent="0.2"/>
    <row r="694" ht="14.1" hidden="1" customHeight="1" x14ac:dyDescent="0.2"/>
    <row r="695" ht="14.1" hidden="1" customHeight="1" x14ac:dyDescent="0.2"/>
    <row r="696" ht="14.1" hidden="1" customHeight="1" x14ac:dyDescent="0.2"/>
    <row r="697" ht="14.1" hidden="1" customHeight="1" x14ac:dyDescent="0.2"/>
    <row r="698" ht="14.1" hidden="1" customHeight="1" x14ac:dyDescent="0.2"/>
    <row r="699" ht="14.1" hidden="1" customHeight="1" x14ac:dyDescent="0.2"/>
    <row r="700" ht="14.1" hidden="1" customHeight="1" x14ac:dyDescent="0.2"/>
    <row r="701" ht="14.1" hidden="1" customHeight="1" x14ac:dyDescent="0.2"/>
    <row r="702" ht="14.1" hidden="1" customHeight="1" x14ac:dyDescent="0.2"/>
    <row r="703" ht="14.1" hidden="1" customHeight="1" x14ac:dyDescent="0.2"/>
    <row r="704" ht="14.1" hidden="1" customHeight="1" x14ac:dyDescent="0.2"/>
    <row r="705" ht="14.1" hidden="1" customHeight="1" x14ac:dyDescent="0.2"/>
    <row r="706" ht="14.1" hidden="1" customHeight="1" x14ac:dyDescent="0.2"/>
    <row r="707" ht="14.1" hidden="1" customHeight="1" x14ac:dyDescent="0.2"/>
    <row r="708" ht="14.1" hidden="1" customHeight="1" x14ac:dyDescent="0.2"/>
    <row r="709" ht="14.1" hidden="1" customHeight="1" x14ac:dyDescent="0.2"/>
    <row r="710" ht="14.1" hidden="1" customHeight="1" x14ac:dyDescent="0.2"/>
    <row r="711" ht="14.1" hidden="1" customHeight="1" x14ac:dyDescent="0.2"/>
    <row r="712" ht="14.1" hidden="1" customHeight="1" x14ac:dyDescent="0.2"/>
    <row r="713" ht="14.1" hidden="1" customHeight="1" x14ac:dyDescent="0.2"/>
    <row r="714" ht="14.1" hidden="1" customHeight="1" x14ac:dyDescent="0.2"/>
    <row r="715" ht="14.1" hidden="1" customHeight="1" x14ac:dyDescent="0.2"/>
    <row r="716" ht="14.1" hidden="1" customHeight="1" x14ac:dyDescent="0.2"/>
    <row r="717" ht="14.1" hidden="1" customHeight="1" x14ac:dyDescent="0.2"/>
    <row r="718" ht="14.1" hidden="1" customHeight="1" x14ac:dyDescent="0.2"/>
    <row r="719" ht="14.1" hidden="1" customHeight="1" x14ac:dyDescent="0.2"/>
    <row r="720" ht="14.1" hidden="1" customHeight="1" x14ac:dyDescent="0.2"/>
    <row r="721" ht="14.1" hidden="1" customHeight="1" x14ac:dyDescent="0.2"/>
    <row r="722" ht="14.1" hidden="1" customHeight="1" x14ac:dyDescent="0.2"/>
    <row r="723" ht="14.1" hidden="1" customHeight="1" x14ac:dyDescent="0.2"/>
    <row r="724" ht="14.1" hidden="1" customHeight="1" x14ac:dyDescent="0.2"/>
    <row r="725" ht="14.1" hidden="1" customHeight="1" x14ac:dyDescent="0.2"/>
    <row r="726" ht="14.1" hidden="1" customHeight="1" x14ac:dyDescent="0.2"/>
    <row r="727" ht="14.1" hidden="1" customHeight="1" x14ac:dyDescent="0.2"/>
    <row r="728" ht="14.1" hidden="1" customHeight="1" x14ac:dyDescent="0.2"/>
    <row r="729" ht="14.1" hidden="1" customHeight="1" x14ac:dyDescent="0.2"/>
    <row r="730" ht="14.1" hidden="1" customHeight="1" x14ac:dyDescent="0.2"/>
    <row r="731" ht="14.1" hidden="1" customHeight="1" x14ac:dyDescent="0.2"/>
    <row r="732" ht="14.1" hidden="1" customHeight="1" x14ac:dyDescent="0.2"/>
    <row r="733" ht="14.1" hidden="1" customHeight="1" x14ac:dyDescent="0.2"/>
    <row r="734" ht="14.1" hidden="1" customHeight="1" x14ac:dyDescent="0.2"/>
    <row r="735" ht="14.1" hidden="1" customHeight="1" x14ac:dyDescent="0.2"/>
    <row r="736" ht="14.1" hidden="1" customHeight="1" x14ac:dyDescent="0.2"/>
    <row r="737" ht="14.1" hidden="1" customHeight="1" x14ac:dyDescent="0.2"/>
    <row r="738" ht="14.1" hidden="1" customHeight="1" x14ac:dyDescent="0.2"/>
    <row r="739" ht="14.1" hidden="1" customHeight="1" x14ac:dyDescent="0.2"/>
    <row r="740" ht="14.1" hidden="1" customHeight="1" x14ac:dyDescent="0.2"/>
    <row r="741" ht="14.1" hidden="1" customHeight="1" x14ac:dyDescent="0.2"/>
    <row r="742" ht="14.1" hidden="1" customHeight="1" x14ac:dyDescent="0.2"/>
    <row r="743" ht="14.1" hidden="1" customHeight="1" x14ac:dyDescent="0.2"/>
    <row r="744" ht="14.1" hidden="1" customHeight="1" x14ac:dyDescent="0.2"/>
    <row r="745" ht="14.1" hidden="1" customHeight="1" x14ac:dyDescent="0.2"/>
    <row r="746" ht="14.1" hidden="1" customHeight="1" x14ac:dyDescent="0.2"/>
    <row r="747" ht="14.1" hidden="1" customHeight="1" x14ac:dyDescent="0.2"/>
    <row r="748" ht="14.1" hidden="1" customHeight="1" x14ac:dyDescent="0.2"/>
    <row r="749" ht="14.1" hidden="1" customHeight="1" x14ac:dyDescent="0.2"/>
    <row r="750" ht="14.1" hidden="1" customHeight="1" x14ac:dyDescent="0.2"/>
    <row r="751" ht="14.1" hidden="1" customHeight="1" x14ac:dyDescent="0.2"/>
    <row r="752" ht="14.1" hidden="1" customHeight="1" x14ac:dyDescent="0.2"/>
    <row r="753" ht="14.1" hidden="1" customHeight="1" x14ac:dyDescent="0.2"/>
    <row r="754" ht="14.1" hidden="1" customHeight="1" x14ac:dyDescent="0.2"/>
    <row r="755" ht="14.1" hidden="1" customHeight="1" x14ac:dyDescent="0.2"/>
    <row r="756" ht="14.1" hidden="1" customHeight="1" x14ac:dyDescent="0.2"/>
    <row r="757" ht="14.1" hidden="1" customHeight="1" x14ac:dyDescent="0.2"/>
    <row r="758" ht="14.1" hidden="1" customHeight="1" x14ac:dyDescent="0.2"/>
    <row r="759" ht="14.1" hidden="1" customHeight="1" x14ac:dyDescent="0.2"/>
    <row r="760" ht="14.1" hidden="1" customHeight="1" x14ac:dyDescent="0.2"/>
    <row r="761" ht="14.1" hidden="1" customHeight="1" x14ac:dyDescent="0.2"/>
    <row r="762" ht="14.1" hidden="1" customHeight="1" x14ac:dyDescent="0.2"/>
    <row r="763" ht="14.1" hidden="1" customHeight="1" x14ac:dyDescent="0.2"/>
    <row r="764" ht="14.1" hidden="1" customHeight="1" x14ac:dyDescent="0.2"/>
    <row r="765" ht="14.1" hidden="1" customHeight="1" x14ac:dyDescent="0.2"/>
    <row r="766" ht="14.1" hidden="1" customHeight="1" x14ac:dyDescent="0.2"/>
    <row r="767" ht="14.1" hidden="1" customHeight="1" x14ac:dyDescent="0.2"/>
    <row r="768" ht="14.1" hidden="1" customHeight="1" x14ac:dyDescent="0.2"/>
    <row r="769" ht="14.1" hidden="1" customHeight="1" x14ac:dyDescent="0.2"/>
    <row r="770" ht="14.1" hidden="1" customHeight="1" x14ac:dyDescent="0.2"/>
    <row r="771" ht="14.1" hidden="1" customHeight="1" x14ac:dyDescent="0.2"/>
    <row r="772" ht="14.1" hidden="1" customHeight="1" x14ac:dyDescent="0.2"/>
    <row r="773" ht="14.1" hidden="1" customHeight="1" x14ac:dyDescent="0.2"/>
    <row r="774" ht="14.1" hidden="1" customHeight="1" x14ac:dyDescent="0.2"/>
    <row r="775" ht="14.1" hidden="1" customHeight="1" x14ac:dyDescent="0.2"/>
    <row r="776" ht="14.1" hidden="1" customHeight="1" x14ac:dyDescent="0.2"/>
    <row r="777" ht="14.1" hidden="1" customHeight="1" x14ac:dyDescent="0.2"/>
    <row r="778" ht="14.1" hidden="1" customHeight="1" x14ac:dyDescent="0.2"/>
    <row r="779" ht="14.1" hidden="1" customHeight="1" x14ac:dyDescent="0.2"/>
    <row r="780" ht="14.1" hidden="1" customHeight="1" x14ac:dyDescent="0.2"/>
    <row r="781" ht="14.1" hidden="1" customHeight="1" x14ac:dyDescent="0.2"/>
    <row r="782" ht="14.1" hidden="1" customHeight="1" x14ac:dyDescent="0.2"/>
    <row r="783" ht="14.1" hidden="1" customHeight="1" x14ac:dyDescent="0.2"/>
    <row r="784" ht="14.1" hidden="1" customHeight="1" x14ac:dyDescent="0.2"/>
    <row r="785" ht="14.1" hidden="1" customHeight="1" x14ac:dyDescent="0.2"/>
    <row r="786" ht="14.1" hidden="1" customHeight="1" x14ac:dyDescent="0.2"/>
    <row r="787" ht="14.1" hidden="1" customHeight="1" x14ac:dyDescent="0.2"/>
    <row r="788" ht="14.1" hidden="1" customHeight="1" x14ac:dyDescent="0.2"/>
    <row r="789" ht="14.1" hidden="1" customHeight="1" x14ac:dyDescent="0.2"/>
    <row r="790" ht="14.1" hidden="1" customHeight="1" x14ac:dyDescent="0.2"/>
    <row r="791" ht="14.1" hidden="1" customHeight="1" x14ac:dyDescent="0.2"/>
    <row r="792" ht="14.1" hidden="1" customHeight="1" x14ac:dyDescent="0.2"/>
    <row r="793" ht="14.1" hidden="1" customHeight="1" x14ac:dyDescent="0.2"/>
    <row r="794" ht="14.1" hidden="1" customHeight="1" x14ac:dyDescent="0.2"/>
    <row r="795" ht="14.1" hidden="1" customHeight="1" x14ac:dyDescent="0.2"/>
    <row r="796" ht="14.1" hidden="1" customHeight="1" x14ac:dyDescent="0.2"/>
    <row r="797" ht="14.1" hidden="1" customHeight="1" x14ac:dyDescent="0.2"/>
    <row r="798" ht="14.1" hidden="1" customHeight="1" x14ac:dyDescent="0.2"/>
    <row r="799" ht="14.1" hidden="1" customHeight="1" x14ac:dyDescent="0.2"/>
    <row r="800" ht="14.1" hidden="1" customHeight="1" x14ac:dyDescent="0.2"/>
    <row r="801" ht="14.1" hidden="1" customHeight="1" x14ac:dyDescent="0.2"/>
    <row r="802" ht="14.1" hidden="1" customHeight="1" x14ac:dyDescent="0.2"/>
    <row r="803" ht="14.1" hidden="1" customHeight="1" x14ac:dyDescent="0.2"/>
    <row r="804" ht="14.1" hidden="1" customHeight="1" x14ac:dyDescent="0.2"/>
    <row r="805" ht="14.1" hidden="1" customHeight="1" x14ac:dyDescent="0.2"/>
    <row r="806" ht="14.1" hidden="1" customHeight="1" x14ac:dyDescent="0.2"/>
    <row r="807" ht="14.1" hidden="1" customHeight="1" x14ac:dyDescent="0.2"/>
    <row r="808" ht="14.1" hidden="1" customHeight="1" x14ac:dyDescent="0.2"/>
    <row r="809" ht="14.1" hidden="1" customHeight="1" x14ac:dyDescent="0.2"/>
    <row r="810" ht="14.1" hidden="1" customHeight="1" x14ac:dyDescent="0.2"/>
    <row r="811" ht="14.1" hidden="1" customHeight="1" x14ac:dyDescent="0.2"/>
    <row r="812" ht="14.1" hidden="1" customHeight="1" x14ac:dyDescent="0.2"/>
    <row r="813" ht="14.1" hidden="1" customHeight="1" x14ac:dyDescent="0.2"/>
    <row r="814" ht="14.1" hidden="1" customHeight="1" x14ac:dyDescent="0.2"/>
    <row r="815" ht="14.1" hidden="1" customHeight="1" x14ac:dyDescent="0.2"/>
    <row r="816" ht="14.1" hidden="1" customHeight="1" x14ac:dyDescent="0.2"/>
    <row r="817" ht="14.1" hidden="1" customHeight="1" x14ac:dyDescent="0.2"/>
    <row r="818" ht="14.1" hidden="1" customHeight="1" x14ac:dyDescent="0.2"/>
    <row r="819" ht="14.1" hidden="1" customHeight="1" x14ac:dyDescent="0.2"/>
    <row r="820" ht="14.1" hidden="1" customHeight="1" x14ac:dyDescent="0.2"/>
    <row r="821" ht="14.1" hidden="1" customHeight="1" x14ac:dyDescent="0.2"/>
    <row r="822" ht="14.1" hidden="1" customHeight="1" x14ac:dyDescent="0.2"/>
    <row r="823" ht="14.1" hidden="1" customHeight="1" x14ac:dyDescent="0.2"/>
    <row r="824" ht="14.1" hidden="1" customHeight="1" x14ac:dyDescent="0.2"/>
    <row r="825" ht="14.1" hidden="1" customHeight="1" x14ac:dyDescent="0.2"/>
    <row r="826" ht="14.1" hidden="1" customHeight="1" x14ac:dyDescent="0.2"/>
    <row r="827" ht="14.1" hidden="1" customHeight="1" x14ac:dyDescent="0.2"/>
    <row r="828" ht="14.1" hidden="1" customHeight="1" x14ac:dyDescent="0.2"/>
    <row r="829" ht="14.1" hidden="1" customHeight="1" x14ac:dyDescent="0.2"/>
    <row r="830" ht="14.1" hidden="1" customHeight="1" x14ac:dyDescent="0.2"/>
    <row r="831" ht="14.1" hidden="1" customHeight="1" x14ac:dyDescent="0.2"/>
    <row r="832" ht="14.1" hidden="1" customHeight="1" x14ac:dyDescent="0.2"/>
    <row r="833" ht="14.1" hidden="1" customHeight="1" x14ac:dyDescent="0.2"/>
    <row r="834" ht="14.1" hidden="1" customHeight="1" x14ac:dyDescent="0.2"/>
    <row r="835" ht="14.1" hidden="1" customHeight="1" x14ac:dyDescent="0.2"/>
    <row r="836" ht="14.1" hidden="1" customHeight="1" x14ac:dyDescent="0.2"/>
    <row r="837" ht="14.1" hidden="1" customHeight="1" x14ac:dyDescent="0.2"/>
    <row r="838" ht="14.1" hidden="1" customHeight="1" x14ac:dyDescent="0.2"/>
    <row r="839" ht="14.1" hidden="1" customHeight="1" x14ac:dyDescent="0.2"/>
    <row r="840" ht="14.1" hidden="1" customHeight="1" x14ac:dyDescent="0.2"/>
    <row r="841" ht="14.1" hidden="1" customHeight="1" x14ac:dyDescent="0.2"/>
    <row r="842" ht="14.1" hidden="1" customHeight="1" x14ac:dyDescent="0.2"/>
    <row r="843" ht="14.1" hidden="1" customHeight="1" x14ac:dyDescent="0.2"/>
    <row r="844" ht="14.1" hidden="1" customHeight="1" x14ac:dyDescent="0.2"/>
    <row r="845" ht="14.1" hidden="1" customHeight="1" x14ac:dyDescent="0.2"/>
    <row r="846" ht="14.1" hidden="1" customHeight="1" x14ac:dyDescent="0.2"/>
    <row r="847" ht="14.1" hidden="1" customHeight="1" x14ac:dyDescent="0.2"/>
    <row r="848" ht="14.1" hidden="1" customHeight="1" x14ac:dyDescent="0.2"/>
    <row r="849" ht="14.1" hidden="1" customHeight="1" x14ac:dyDescent="0.2"/>
    <row r="850" ht="14.1" hidden="1" customHeight="1" x14ac:dyDescent="0.2"/>
    <row r="851" ht="14.1" hidden="1" customHeight="1" x14ac:dyDescent="0.2"/>
    <row r="852" ht="14.1" hidden="1" customHeight="1" x14ac:dyDescent="0.2"/>
    <row r="853" ht="14.1" hidden="1" customHeight="1" x14ac:dyDescent="0.2"/>
    <row r="854" ht="14.1" hidden="1" customHeight="1" x14ac:dyDescent="0.2"/>
    <row r="855" ht="14.1" hidden="1" customHeight="1" x14ac:dyDescent="0.2"/>
    <row r="856" ht="14.1" hidden="1" customHeight="1" x14ac:dyDescent="0.2"/>
    <row r="857" ht="14.1" hidden="1" customHeight="1" x14ac:dyDescent="0.2"/>
    <row r="858" ht="14.1" hidden="1" customHeight="1" x14ac:dyDescent="0.2"/>
    <row r="859" ht="14.1" hidden="1" customHeight="1" x14ac:dyDescent="0.2"/>
    <row r="860" ht="14.1" hidden="1" customHeight="1" x14ac:dyDescent="0.2"/>
    <row r="861" ht="14.1" hidden="1" customHeight="1" x14ac:dyDescent="0.2"/>
    <row r="862" ht="14.1" hidden="1" customHeight="1" x14ac:dyDescent="0.2"/>
    <row r="863" ht="14.1" hidden="1" customHeight="1" x14ac:dyDescent="0.2"/>
    <row r="864" ht="14.1" hidden="1" customHeight="1" x14ac:dyDescent="0.2"/>
    <row r="865" ht="14.1" hidden="1" customHeight="1" x14ac:dyDescent="0.2"/>
    <row r="866" ht="14.1" hidden="1" customHeight="1" x14ac:dyDescent="0.2"/>
    <row r="867" ht="14.1" hidden="1" customHeight="1" x14ac:dyDescent="0.2"/>
    <row r="868" ht="14.1" hidden="1" customHeight="1" x14ac:dyDescent="0.2"/>
    <row r="869" ht="14.1" hidden="1" customHeight="1" x14ac:dyDescent="0.2"/>
    <row r="870" ht="14.1" hidden="1" customHeight="1" x14ac:dyDescent="0.2"/>
    <row r="871" ht="14.1" hidden="1" customHeight="1" x14ac:dyDescent="0.2"/>
    <row r="872" ht="14.1" hidden="1" customHeight="1" x14ac:dyDescent="0.2"/>
    <row r="873" ht="14.1" hidden="1" customHeight="1" x14ac:dyDescent="0.2"/>
    <row r="874" ht="14.1" hidden="1" customHeight="1" x14ac:dyDescent="0.2"/>
    <row r="875" ht="14.1" hidden="1" customHeight="1" x14ac:dyDescent="0.2"/>
    <row r="876" ht="14.1" hidden="1" customHeight="1" x14ac:dyDescent="0.2"/>
    <row r="877" ht="14.1" hidden="1" customHeight="1" x14ac:dyDescent="0.2"/>
    <row r="878" ht="14.1" hidden="1" customHeight="1" x14ac:dyDescent="0.2"/>
    <row r="879" ht="14.1" hidden="1" customHeight="1" x14ac:dyDescent="0.2"/>
    <row r="880" ht="14.1" hidden="1" customHeight="1" x14ac:dyDescent="0.2"/>
    <row r="881" ht="14.1" hidden="1" customHeight="1" x14ac:dyDescent="0.2"/>
    <row r="882" ht="14.1" hidden="1" customHeight="1" x14ac:dyDescent="0.2"/>
    <row r="883" ht="14.1" hidden="1" customHeight="1" x14ac:dyDescent="0.2"/>
    <row r="884" ht="14.1" hidden="1" customHeight="1" x14ac:dyDescent="0.2"/>
    <row r="885" ht="14.1" hidden="1" customHeight="1" x14ac:dyDescent="0.2"/>
    <row r="886" ht="14.1" hidden="1" customHeight="1" x14ac:dyDescent="0.2"/>
    <row r="887" ht="14.1" hidden="1" customHeight="1" x14ac:dyDescent="0.2"/>
    <row r="888" ht="14.1" hidden="1" customHeight="1" x14ac:dyDescent="0.2"/>
    <row r="889" ht="14.1" hidden="1" customHeight="1" x14ac:dyDescent="0.2"/>
    <row r="890" ht="14.1" hidden="1" customHeight="1" x14ac:dyDescent="0.2"/>
    <row r="891" ht="14.1" hidden="1" customHeight="1" x14ac:dyDescent="0.2"/>
    <row r="892" ht="14.1" hidden="1" customHeight="1" x14ac:dyDescent="0.2"/>
    <row r="893" ht="14.1" hidden="1" customHeight="1" x14ac:dyDescent="0.2"/>
    <row r="894" ht="14.1" hidden="1" customHeight="1" x14ac:dyDescent="0.2"/>
    <row r="895" ht="14.1" hidden="1" customHeight="1" x14ac:dyDescent="0.2"/>
    <row r="896" ht="14.1" hidden="1" customHeight="1" x14ac:dyDescent="0.2"/>
    <row r="897" ht="14.1" hidden="1" customHeight="1" x14ac:dyDescent="0.2"/>
    <row r="898" ht="14.1" hidden="1" customHeight="1" x14ac:dyDescent="0.2"/>
    <row r="899" ht="14.1" hidden="1" customHeight="1" x14ac:dyDescent="0.2"/>
    <row r="900" ht="14.1" hidden="1" customHeight="1" x14ac:dyDescent="0.2"/>
    <row r="901" ht="14.1" hidden="1" customHeight="1" x14ac:dyDescent="0.2"/>
    <row r="902" ht="14.1" hidden="1" customHeight="1" x14ac:dyDescent="0.2"/>
    <row r="903" ht="14.1" hidden="1" customHeight="1" x14ac:dyDescent="0.2"/>
    <row r="904" ht="14.1" hidden="1" customHeight="1" x14ac:dyDescent="0.2"/>
    <row r="905" ht="14.1" hidden="1" customHeight="1" x14ac:dyDescent="0.2"/>
    <row r="906" ht="14.1" hidden="1" customHeight="1" x14ac:dyDescent="0.2"/>
    <row r="907" ht="14.1" hidden="1" customHeight="1" x14ac:dyDescent="0.2"/>
    <row r="908" ht="14.1" hidden="1" customHeight="1" x14ac:dyDescent="0.2"/>
    <row r="909" ht="14.1" hidden="1" customHeight="1" x14ac:dyDescent="0.2"/>
    <row r="910" ht="14.1" hidden="1" customHeight="1" x14ac:dyDescent="0.2"/>
    <row r="911" ht="14.1" hidden="1" customHeight="1" x14ac:dyDescent="0.2"/>
    <row r="912" ht="14.1" hidden="1" customHeight="1" x14ac:dyDescent="0.2"/>
    <row r="913" ht="14.1" hidden="1" customHeight="1" x14ac:dyDescent="0.2"/>
    <row r="914" ht="14.1" hidden="1" customHeight="1" x14ac:dyDescent="0.2"/>
    <row r="915" ht="14.1" hidden="1" customHeight="1" x14ac:dyDescent="0.2"/>
    <row r="916" ht="14.1" hidden="1" customHeight="1" x14ac:dyDescent="0.2"/>
    <row r="917" ht="14.1" hidden="1" customHeight="1" x14ac:dyDescent="0.2"/>
    <row r="918" ht="14.1" hidden="1" customHeight="1" x14ac:dyDescent="0.2"/>
    <row r="919" ht="14.1" hidden="1" customHeight="1" x14ac:dyDescent="0.2"/>
    <row r="920" ht="14.1" hidden="1" customHeight="1" x14ac:dyDescent="0.2"/>
    <row r="921" ht="14.1" hidden="1" customHeight="1" x14ac:dyDescent="0.2"/>
    <row r="922" ht="14.1" hidden="1" customHeight="1" x14ac:dyDescent="0.2"/>
    <row r="923" ht="14.1" hidden="1" customHeight="1" x14ac:dyDescent="0.2"/>
    <row r="924" ht="14.1" hidden="1" customHeight="1" x14ac:dyDescent="0.2"/>
    <row r="925" ht="14.1" hidden="1" customHeight="1" x14ac:dyDescent="0.2"/>
    <row r="926" ht="14.1" hidden="1" customHeight="1" x14ac:dyDescent="0.2"/>
    <row r="927" ht="14.1" hidden="1" customHeight="1" x14ac:dyDescent="0.2"/>
    <row r="928" ht="14.1" hidden="1" customHeight="1" x14ac:dyDescent="0.2"/>
    <row r="929" ht="14.1" hidden="1" customHeight="1" x14ac:dyDescent="0.2"/>
    <row r="930" ht="14.1" hidden="1" customHeight="1" x14ac:dyDescent="0.2"/>
    <row r="931" ht="14.1" hidden="1" customHeight="1" x14ac:dyDescent="0.2"/>
    <row r="932" ht="14.1" hidden="1" customHeight="1" x14ac:dyDescent="0.2"/>
    <row r="933" ht="14.1" hidden="1" customHeight="1" x14ac:dyDescent="0.2"/>
    <row r="934" ht="14.1" hidden="1" customHeight="1" x14ac:dyDescent="0.2"/>
    <row r="935" ht="14.1" hidden="1" customHeight="1" x14ac:dyDescent="0.2"/>
    <row r="936" ht="14.1" hidden="1" customHeight="1" x14ac:dyDescent="0.2"/>
    <row r="937" ht="14.1" hidden="1" customHeight="1" x14ac:dyDescent="0.2"/>
    <row r="938" ht="14.1" hidden="1" customHeight="1" x14ac:dyDescent="0.2"/>
    <row r="939" ht="14.1" hidden="1" customHeight="1" x14ac:dyDescent="0.2"/>
    <row r="940" ht="14.1" hidden="1" customHeight="1" x14ac:dyDescent="0.2"/>
    <row r="941" ht="14.1" hidden="1" customHeight="1" x14ac:dyDescent="0.2"/>
    <row r="942" ht="14.1" hidden="1" customHeight="1" x14ac:dyDescent="0.2"/>
    <row r="943" ht="14.1" hidden="1" customHeight="1" x14ac:dyDescent="0.2"/>
    <row r="944" ht="14.1" hidden="1" customHeight="1" x14ac:dyDescent="0.2"/>
    <row r="945" ht="14.1" hidden="1" customHeight="1" x14ac:dyDescent="0.2"/>
    <row r="946" ht="14.1" hidden="1" customHeight="1" x14ac:dyDescent="0.2"/>
    <row r="947" ht="14.1" hidden="1" customHeight="1" x14ac:dyDescent="0.2"/>
    <row r="948" ht="14.1" hidden="1" customHeight="1" x14ac:dyDescent="0.2"/>
    <row r="949" ht="14.1" hidden="1" customHeight="1" x14ac:dyDescent="0.2"/>
    <row r="950" ht="14.1" hidden="1" customHeight="1" x14ac:dyDescent="0.2"/>
    <row r="951" ht="14.1" hidden="1" customHeight="1" x14ac:dyDescent="0.2"/>
    <row r="952" ht="14.1" hidden="1" customHeight="1" x14ac:dyDescent="0.2"/>
    <row r="953" ht="14.1" hidden="1" customHeight="1" x14ac:dyDescent="0.2"/>
    <row r="954" ht="14.1" hidden="1" customHeight="1" x14ac:dyDescent="0.2"/>
    <row r="955" ht="14.1" hidden="1" customHeight="1" x14ac:dyDescent="0.2"/>
    <row r="956" ht="14.1" hidden="1" customHeight="1" x14ac:dyDescent="0.2"/>
    <row r="957" ht="14.1" hidden="1" customHeight="1" x14ac:dyDescent="0.2"/>
    <row r="958" ht="14.1" hidden="1" customHeight="1" x14ac:dyDescent="0.2"/>
    <row r="959" ht="14.1" hidden="1" customHeight="1" x14ac:dyDescent="0.2"/>
    <row r="960" ht="14.1" hidden="1" customHeight="1" x14ac:dyDescent="0.2"/>
    <row r="961" ht="14.1" hidden="1" customHeight="1" x14ac:dyDescent="0.2"/>
    <row r="962" ht="14.1" hidden="1" customHeight="1" x14ac:dyDescent="0.2"/>
    <row r="963" ht="14.1" hidden="1" customHeight="1" x14ac:dyDescent="0.2"/>
    <row r="964" ht="14.1" hidden="1" customHeight="1" x14ac:dyDescent="0.2"/>
    <row r="965" ht="14.1" hidden="1" customHeight="1" x14ac:dyDescent="0.2"/>
    <row r="966" ht="14.1" hidden="1" customHeight="1" x14ac:dyDescent="0.2"/>
    <row r="967" ht="14.1" hidden="1" customHeight="1" x14ac:dyDescent="0.2"/>
    <row r="968" ht="14.1" hidden="1" customHeight="1" x14ac:dyDescent="0.2"/>
    <row r="969" ht="14.1" hidden="1" customHeight="1" x14ac:dyDescent="0.2"/>
    <row r="970" ht="14.1" hidden="1" customHeight="1" x14ac:dyDescent="0.2"/>
    <row r="971" ht="14.1" hidden="1" customHeight="1" x14ac:dyDescent="0.2"/>
    <row r="972" ht="14.1" hidden="1" customHeight="1" x14ac:dyDescent="0.2"/>
    <row r="973" ht="14.1" hidden="1" customHeight="1" x14ac:dyDescent="0.2"/>
    <row r="974" ht="14.1" hidden="1" customHeight="1" x14ac:dyDescent="0.2"/>
    <row r="975" ht="14.1" hidden="1" customHeight="1" x14ac:dyDescent="0.2"/>
  </sheetData>
  <sheetProtection algorithmName="SHA-512" hashValue="AOcRS/15eh2u1oIl6hmBmJlfYYUvLL8JoM8AptxbBdhL9Wp8FbhrFP/tBGIjhuY4Xy10s5V7o/q7iyFtSOd7lQ==" saltValue="EJQyIP02IUv8vijgTdOKLA==" spinCount="100000" sheet="1" objects="1" scenarios="1" selectLockedCells="1" autoFilter="0"/>
  <mergeCells count="22">
    <mergeCell ref="B76:I76"/>
    <mergeCell ref="F77:H77"/>
    <mergeCell ref="B21:E21"/>
    <mergeCell ref="E22:F22"/>
    <mergeCell ref="B32:F32"/>
    <mergeCell ref="E43:G43"/>
    <mergeCell ref="H43:K43"/>
    <mergeCell ref="B69:E69"/>
    <mergeCell ref="B2:G2"/>
    <mergeCell ref="B5:C5"/>
    <mergeCell ref="E5:F5"/>
    <mergeCell ref="B7:C7"/>
    <mergeCell ref="E7:F7"/>
    <mergeCell ref="H5:J5"/>
    <mergeCell ref="B6:C6"/>
    <mergeCell ref="E6:F6"/>
    <mergeCell ref="H6:J6"/>
    <mergeCell ref="B11:C11"/>
    <mergeCell ref="E11:F11"/>
    <mergeCell ref="H7:J7"/>
    <mergeCell ref="B9:E9"/>
    <mergeCell ref="E10:F10"/>
  </mergeCells>
  <conditionalFormatting sqref="B26:K27 B29:K30 B17:K17 B24:K24 B35:K35">
    <cfRule type="expression" dxfId="47" priority="8">
      <formula>OR(_Dach_Typ="Fdg",_Dach_Typ="Fd")</formula>
    </cfRule>
  </conditionalFormatting>
  <conditionalFormatting sqref="B39:K39">
    <cfRule type="expression" dxfId="46" priority="5">
      <formula>AND(ISNUMBER($E$38),OR($E$27&gt;0,$E$30&gt;0))</formula>
    </cfRule>
  </conditionalFormatting>
  <conditionalFormatting sqref="E17">
    <cfRule type="expression" dxfId="45" priority="2">
      <formula>OR(_Dach_Typ="Fd",_Dach_Typ="Fdg")</formula>
    </cfRule>
  </conditionalFormatting>
  <conditionalFormatting sqref="E39">
    <cfRule type="expression" dxfId="44" priority="6">
      <formula>AND(ISNUMBER($E$38),OR($E$27&gt;0,$E$30&gt;0))</formula>
    </cfRule>
  </conditionalFormatting>
  <conditionalFormatting sqref="G26 G29">
    <cfRule type="expression" dxfId="43" priority="7">
      <formula>OR(_Dach_Typ="Fdg",_Dach_Typ="Fd")</formula>
    </cfRule>
  </conditionalFormatting>
  <conditionalFormatting sqref="G40">
    <cfRule type="expression" dxfId="42" priority="3">
      <formula>$E$40=0</formula>
    </cfRule>
  </conditionalFormatting>
  <conditionalFormatting sqref="G41">
    <cfRule type="expression" dxfId="41" priority="4">
      <formula>$E$41=0</formula>
    </cfRule>
  </conditionalFormatting>
  <conditionalFormatting sqref="G26:I26 G29:I29">
    <cfRule type="expression" dxfId="40" priority="1">
      <formula>$G26&gt;$E25</formula>
    </cfRule>
  </conditionalFormatting>
  <dataValidations count="6">
    <dataValidation type="custom" allowBlank="1" showInputMessage="1" showErrorMessage="1" errorTitle="Falsche Eingabe" error="Feld nur für Dachtyp Flachdach / Flachdach begrünt ausfüllen_x000a__x000a_Diese Zahl muss kleiner oder gleich wie die Stückzahl vom gestzlichen Minimum sein." sqref="G29" xr:uid="{C01208B5-6EBD-48B4-9ABC-00DEF25EE24D}">
      <formula1>AND(G29&lt;=E28,G29&gt;0)</formula1>
    </dataValidation>
    <dataValidation type="custom" allowBlank="1" showInputMessage="1" showErrorMessage="1" errorTitle="Unzulässige Eingabe" error="Der Wert muss kleiner der Stückzahl der technischen Vollbelegung sein." sqref="E28" xr:uid="{DBB2B722-FE2A-4378-8E2A-163F316BADCD}">
      <formula1>E28&lt;=E25</formula1>
    </dataValidation>
    <dataValidation type="custom" allowBlank="1" showErrorMessage="1" errorTitle="Falsche Eingabe" error="Feld nur für Dachtyp Flachdach / Flachdach begrünt ausfüllen_x000a__x000a_Diese Zahl muss kleiner oder gleich wie die Stückzahl der technischen Vollbelegung sein." promptTitle="Nur bei Flachdach erforderlich" sqref="G26" xr:uid="{9D73CF6C-E658-4AEB-A5ED-AC721697ADD4}">
      <formula1>AND(G26&lt;=E25,G26&gt;0)</formula1>
    </dataValidation>
    <dataValidation type="list" allowBlank="1" showInputMessage="1" showErrorMessage="1" sqref="E22" xr:uid="{3A17DF31-FF83-456F-A9ED-7CC2EDC118CF}">
      <formula1>$G$22:$H$22</formula1>
    </dataValidation>
    <dataValidation type="list" allowBlank="1" showInputMessage="1" showErrorMessage="1" sqref="E11" xr:uid="{8BADA988-2D32-43E4-B538-FF439A106EB6}">
      <formula1>_Liste_Dachtypen</formula1>
    </dataValidation>
    <dataValidation type="list" allowBlank="1" showInputMessage="1" showErrorMessage="1" sqref="E16:E17" xr:uid="{0D8C3F27-B2CE-49B1-894D-D1C1D5F02B25}">
      <formula1>_Liste_Blendung</formula1>
    </dataValidation>
  </dataValidations>
  <pageMargins left="0.55118110236220474" right="0.51181102362204722" top="0.74803149606299213" bottom="0.70866141732283472" header="0.31496062992125984" footer="0.31496062992125984"/>
  <pageSetup paperSize="9" scale="65" fitToHeight="0" orientation="portrait" r:id="rId1"/>
  <headerFooter>
    <oddHeader xml:space="preserve">&amp;L&amp;8         Planungshilfe Nachweis wirtschaftliche Unverhältnismässigkeit&amp;R&amp;8Stadt Luzern </oddHeader>
    <oddFooter xml:space="preserve">&amp;L&amp;8         &amp;P | &amp;N&amp;R&amp;8Nächste Revision 12.12.2026 </oddFooter>
    <firstHeader>&amp;L&amp;G</first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5F397-E3CB-4D29-A01A-8A489D92A676}">
  <sheetPr codeName="Tabelle8">
    <pageSetUpPr fitToPage="1"/>
  </sheetPr>
  <dimension ref="A1:R975"/>
  <sheetViews>
    <sheetView showGridLines="0" view="pageLayout" topLeftCell="A2" zoomScaleNormal="100" zoomScaleSheetLayoutView="100" workbookViewId="0">
      <selection activeCell="E38" sqref="E38"/>
    </sheetView>
  </sheetViews>
  <sheetFormatPr baseColWidth="10" defaultColWidth="0" defaultRowHeight="0" customHeight="1" zeroHeight="1" x14ac:dyDescent="0.2"/>
  <cols>
    <col min="1" max="1" width="3.5703125" style="257" customWidth="1"/>
    <col min="2" max="2" width="8.28515625" customWidth="1"/>
    <col min="3" max="3" width="25.5703125" customWidth="1"/>
    <col min="4" max="4" width="24.140625" style="14" hidden="1" customWidth="1"/>
    <col min="5" max="5" width="15" customWidth="1"/>
    <col min="6" max="6" width="17.5703125" customWidth="1"/>
    <col min="7" max="8" width="14.28515625" customWidth="1"/>
    <col min="9" max="10" width="11.42578125" customWidth="1"/>
    <col min="11" max="11" width="18.42578125" customWidth="1"/>
    <col min="12" max="12" width="6" customWidth="1"/>
    <col min="13" max="13" width="34.28515625" hidden="1" customWidth="1"/>
    <col min="14" max="18" width="0" hidden="1" customWidth="1"/>
    <col min="19" max="16384" width="11.42578125" hidden="1"/>
  </cols>
  <sheetData>
    <row r="1" spans="1:18" ht="12.75" hidden="1" x14ac:dyDescent="0.2">
      <c r="A1" s="262"/>
      <c r="B1" s="14" t="str">
        <f ca="1">MID(CELL("dateiname",B2),SEARCH("]",CELL("dateiname",B2))+1,31)</f>
        <v>Dachfläche (2)</v>
      </c>
      <c r="C1" s="14"/>
      <c r="E1" s="14"/>
      <c r="F1" s="14"/>
      <c r="G1" s="14"/>
      <c r="H1" s="14"/>
      <c r="I1" s="14"/>
      <c r="J1" s="14"/>
      <c r="K1" s="14"/>
    </row>
    <row r="2" spans="1:18" s="12" customFormat="1" ht="21" customHeight="1" x14ac:dyDescent="0.3">
      <c r="A2" s="259"/>
      <c r="B2" s="713" t="str">
        <f t="shared" ref="B2" ca="1" si="0">"Zusammenstellung Kennwerte "&amp;B1</f>
        <v>Zusammenstellung Kennwerte Dachfläche (2)</v>
      </c>
      <c r="C2" s="713"/>
      <c r="D2" s="713"/>
      <c r="E2" s="713"/>
      <c r="F2" s="713"/>
      <c r="G2" s="713"/>
      <c r="N2"/>
      <c r="O2"/>
      <c r="P2"/>
      <c r="Q2"/>
      <c r="R2"/>
    </row>
    <row r="3" spans="1:18" ht="12.75" x14ac:dyDescent="0.2"/>
    <row r="4" spans="1:18" s="12" customFormat="1" ht="20.25" x14ac:dyDescent="0.3">
      <c r="A4" s="259"/>
      <c r="B4" s="286" t="s">
        <v>26</v>
      </c>
      <c r="D4" s="150"/>
      <c r="N4"/>
      <c r="O4"/>
      <c r="P4"/>
      <c r="Q4"/>
      <c r="R4"/>
    </row>
    <row r="5" spans="1:18" s="16" customFormat="1" ht="19.899999999999999" customHeight="1" x14ac:dyDescent="0.25">
      <c r="A5" s="260"/>
      <c r="B5" s="684" t="str">
        <f>'3 Bericht'!B2</f>
        <v>Projektname</v>
      </c>
      <c r="C5" s="685"/>
      <c r="D5" s="509"/>
      <c r="E5" s="714">
        <f>_Projektname</f>
        <v>0</v>
      </c>
      <c r="F5" s="715"/>
      <c r="G5" s="575"/>
      <c r="H5" s="706" t="str">
        <f>'3 Bericht'!J2</f>
        <v>Netzversorger</v>
      </c>
      <c r="I5" s="707"/>
      <c r="J5" s="707"/>
      <c r="K5" s="510">
        <f>_Netzversorger</f>
        <v>0</v>
      </c>
    </row>
    <row r="6" spans="1:18" s="16" customFormat="1" ht="19.899999999999999" customHeight="1" x14ac:dyDescent="0.25">
      <c r="A6" s="260"/>
      <c r="B6" s="686" t="str">
        <f>'3 Bericht'!B3</f>
        <v>Adresse</v>
      </c>
      <c r="C6" s="687"/>
      <c r="D6" s="511"/>
      <c r="E6" s="694">
        <f>_Adresse</f>
        <v>0</v>
      </c>
      <c r="F6" s="695"/>
      <c r="G6" s="575"/>
      <c r="H6" s="708" t="str">
        <f>'3 Bericht'!J3</f>
        <v>Fertigstellung (geplant)</v>
      </c>
      <c r="I6" s="709"/>
      <c r="J6" s="709"/>
      <c r="K6" s="512">
        <f>_Datum_IBS</f>
        <v>0</v>
      </c>
    </row>
    <row r="7" spans="1:18" s="16" customFormat="1" ht="19.899999999999999" customHeight="1" x14ac:dyDescent="0.25">
      <c r="A7" s="260"/>
      <c r="B7" s="686" t="str">
        <f>'3 Bericht'!B4</f>
        <v>PLZ Ort</v>
      </c>
      <c r="C7" s="687"/>
      <c r="D7" s="511"/>
      <c r="E7" s="694">
        <f>_PLZ</f>
        <v>0</v>
      </c>
      <c r="F7" s="695"/>
      <c r="G7" s="575"/>
      <c r="H7" s="708" t="str">
        <f>'3 Bericht'!J5</f>
        <v>MWSt. pflichtig</v>
      </c>
      <c r="I7" s="709"/>
      <c r="J7" s="709"/>
      <c r="K7" s="513" t="str">
        <f>'3 Bericht'!M5</f>
        <v>Nein</v>
      </c>
    </row>
    <row r="8" spans="1:18" ht="12.75" x14ac:dyDescent="0.2"/>
    <row r="9" spans="1:18" s="12" customFormat="1" ht="20.25" x14ac:dyDescent="0.3">
      <c r="A9" s="259"/>
      <c r="B9" s="679" t="s">
        <v>66</v>
      </c>
      <c r="C9" s="679"/>
      <c r="D9" s="679"/>
      <c r="E9" s="679"/>
      <c r="M9" s="16"/>
      <c r="N9"/>
      <c r="O9"/>
      <c r="P9"/>
      <c r="Q9"/>
      <c r="R9"/>
    </row>
    <row r="10" spans="1:18" s="16" customFormat="1" ht="19.899999999999999" customHeight="1" x14ac:dyDescent="0.25">
      <c r="A10" s="260"/>
      <c r="B10" s="303" t="s">
        <v>80</v>
      </c>
      <c r="C10" s="303"/>
      <c r="D10" s="516" t="s">
        <v>113</v>
      </c>
      <c r="E10" s="716"/>
      <c r="F10" s="716"/>
      <c r="G10" s="517"/>
      <c r="H10" s="303"/>
      <c r="I10" s="303"/>
      <c r="J10" s="303"/>
      <c r="K10" s="303"/>
    </row>
    <row r="11" spans="1:18" s="16" customFormat="1" ht="19.899999999999999" customHeight="1" x14ac:dyDescent="0.25">
      <c r="A11" s="260"/>
      <c r="B11" s="710" t="s">
        <v>251</v>
      </c>
      <c r="C11" s="710"/>
      <c r="D11" s="516" t="s">
        <v>418</v>
      </c>
      <c r="E11" s="711"/>
      <c r="F11" s="712"/>
      <c r="G11" s="303" t="s">
        <v>541</v>
      </c>
      <c r="H11" s="303"/>
      <c r="I11" s="303"/>
      <c r="J11" s="303"/>
      <c r="K11" s="303"/>
    </row>
    <row r="12" spans="1:18" s="21" customFormat="1" ht="19.899999999999999" hidden="1" customHeight="1" x14ac:dyDescent="0.25">
      <c r="A12" s="261"/>
      <c r="B12" s="518"/>
      <c r="C12" s="518"/>
      <c r="D12" s="516" t="s">
        <v>270</v>
      </c>
      <c r="E12" s="519" t="str">
        <f>IFERROR(VLOOKUP(E11,Basisdaten!B151:C154,2,FALSE),"")</f>
        <v/>
      </c>
      <c r="F12" s="520"/>
      <c r="G12" s="516"/>
      <c r="H12" s="516"/>
      <c r="I12" s="516"/>
      <c r="J12" s="516"/>
      <c r="K12" s="516"/>
      <c r="L12" s="16"/>
    </row>
    <row r="13" spans="1:18" s="16" customFormat="1" ht="19.899999999999999" customHeight="1" x14ac:dyDescent="0.25">
      <c r="A13" s="260"/>
      <c r="B13" s="303" t="s">
        <v>278</v>
      </c>
      <c r="C13" s="303"/>
      <c r="D13" s="516" t="s">
        <v>100</v>
      </c>
      <c r="E13" s="521"/>
      <c r="F13" s="522" t="s">
        <v>542</v>
      </c>
      <c r="G13" s="303" t="s">
        <v>279</v>
      </c>
      <c r="H13" s="303"/>
      <c r="I13" s="303"/>
      <c r="J13" s="303"/>
      <c r="K13" s="303"/>
    </row>
    <row r="14" spans="1:18" s="16" customFormat="1" ht="19.899999999999999" customHeight="1" x14ac:dyDescent="0.25">
      <c r="A14" s="260"/>
      <c r="B14" s="297" t="str">
        <f>IF(OR(_Dach_Typ="Fdg",_Dach_Typ="Fd"),"Hauptausrichtung","Ausrichtung")</f>
        <v>Ausrichtung</v>
      </c>
      <c r="C14" s="297"/>
      <c r="D14" s="437" t="s">
        <v>34</v>
      </c>
      <c r="E14" s="523"/>
      <c r="F14" s="524" t="s">
        <v>46</v>
      </c>
      <c r="G14" s="297" t="s">
        <v>58</v>
      </c>
      <c r="H14" s="297"/>
      <c r="I14" s="297"/>
      <c r="J14" s="297"/>
      <c r="K14" s="297"/>
    </row>
    <row r="15" spans="1:18" s="16" customFormat="1" ht="19.899999999999999" customHeight="1" x14ac:dyDescent="0.25">
      <c r="A15" s="260"/>
      <c r="B15" s="297" t="str">
        <f>IF(OR(_Dach_Typ="Fdg",_Dach_Typ="Fd"),"Modulneigung","Dachneigung")</f>
        <v>Dachneigung</v>
      </c>
      <c r="C15" s="297"/>
      <c r="D15" s="437" t="s">
        <v>35</v>
      </c>
      <c r="E15" s="523"/>
      <c r="F15" s="524" t="s">
        <v>46</v>
      </c>
      <c r="G15" s="297" t="s">
        <v>59</v>
      </c>
      <c r="H15" s="297"/>
      <c r="I15" s="297"/>
      <c r="J15" s="297"/>
      <c r="K15" s="297"/>
    </row>
    <row r="16" spans="1:18" s="16" customFormat="1" ht="19.899999999999999" customHeight="1" x14ac:dyDescent="0.25">
      <c r="A16" s="260"/>
      <c r="B16" s="297" t="str">
        <f>IF(OR(_Dach_Typ="Fdg",_Dach_Typ="Fd"),"Blendung in Hauptausrichtung","Blendung")</f>
        <v>Blendung</v>
      </c>
      <c r="C16" s="297"/>
      <c r="D16" s="437" t="s">
        <v>305</v>
      </c>
      <c r="E16" s="525"/>
      <c r="F16" s="524"/>
      <c r="G16" s="297" t="str">
        <f>IFERROR(VLOOKUP(E16,_Reflektionstyp,2,FALSE),"Abklärung erforderlich")</f>
        <v>Abklärung erforderlich</v>
      </c>
      <c r="H16" s="297"/>
      <c r="I16" s="297"/>
      <c r="J16" s="297"/>
      <c r="K16" s="297"/>
      <c r="M16" s="218"/>
    </row>
    <row r="17" spans="1:18" s="16" customFormat="1" ht="19.899999999999999" customHeight="1" x14ac:dyDescent="0.25">
      <c r="A17" s="260"/>
      <c r="B17" s="526" t="s">
        <v>307</v>
      </c>
      <c r="C17" s="527"/>
      <c r="D17" s="528" t="s">
        <v>306</v>
      </c>
      <c r="E17" s="529" t="s">
        <v>274</v>
      </c>
      <c r="F17" s="530"/>
      <c r="G17" s="527" t="str">
        <f>IFERROR(VLOOKUP(E17,_Reflektionstyp,2,FALSE),"Abklärung erforderlich")</f>
        <v>Reflektionen klären! (unkritisch / kritisch)</v>
      </c>
      <c r="H17" s="527"/>
      <c r="I17" s="527"/>
      <c r="J17" s="527"/>
      <c r="K17" s="527"/>
    </row>
    <row r="18" spans="1:18" s="14" customFormat="1" ht="15" hidden="1" customHeight="1" x14ac:dyDescent="0.2">
      <c r="A18" s="262"/>
      <c r="C18" s="14" t="s">
        <v>65</v>
      </c>
      <c r="E18" s="14">
        <f>RADIANS(E14)</f>
        <v>0</v>
      </c>
      <c r="L18"/>
    </row>
    <row r="19" spans="1:18" s="14" customFormat="1" ht="12.75" hidden="1" x14ac:dyDescent="0.2">
      <c r="A19" s="262"/>
      <c r="C19" s="14" t="s">
        <v>62</v>
      </c>
      <c r="E19" s="14">
        <f>IF(_Dach_Typ=INDEX(_Liste_Dachtypen,1),0,-RADIANS(E15))</f>
        <v>0</v>
      </c>
      <c r="L19"/>
    </row>
    <row r="20" spans="1:18" ht="12.75" x14ac:dyDescent="0.2"/>
    <row r="21" spans="1:18" s="12" customFormat="1" ht="20.25" x14ac:dyDescent="0.3">
      <c r="A21" s="259"/>
      <c r="B21" s="679" t="s">
        <v>42</v>
      </c>
      <c r="C21" s="679"/>
      <c r="D21" s="679"/>
      <c r="E21" s="679"/>
      <c r="N21"/>
      <c r="O21"/>
      <c r="P21"/>
      <c r="Q21"/>
      <c r="R21"/>
    </row>
    <row r="22" spans="1:18" s="16" customFormat="1" ht="19.899999999999999" customHeight="1" x14ac:dyDescent="0.25">
      <c r="A22" s="260"/>
      <c r="B22" s="303" t="s">
        <v>43</v>
      </c>
      <c r="C22" s="303"/>
      <c r="D22" s="516" t="s">
        <v>67</v>
      </c>
      <c r="E22" s="718"/>
      <c r="F22" s="718"/>
      <c r="G22" s="303" t="s">
        <v>84</v>
      </c>
      <c r="H22" s="303" t="s">
        <v>85</v>
      </c>
      <c r="I22" s="303"/>
      <c r="J22" s="303"/>
      <c r="K22" s="303"/>
    </row>
    <row r="23" spans="1:18" s="16" customFormat="1" ht="19.899999999999999" customHeight="1" x14ac:dyDescent="0.25">
      <c r="A23" s="260"/>
      <c r="B23" s="303" t="str">
        <f>IF(OR(_Dach_Typ="Fdg",_Dach_Typ="Fd"),"Modultyp für Hauptausrichtung","Modultyp")</f>
        <v>Modultyp</v>
      </c>
      <c r="C23" s="303"/>
      <c r="D23" s="516" t="s">
        <v>317</v>
      </c>
      <c r="E23" s="504" t="str">
        <f>IF($E16="krit","Blendarm","Standard")</f>
        <v>Standard</v>
      </c>
      <c r="F23" s="531">
        <f>IF(E16="krit",_Modulleistung_Blendarm,_Modulleistung_Standard)</f>
        <v>475</v>
      </c>
      <c r="G23" s="303" t="s">
        <v>50</v>
      </c>
      <c r="H23" s="303"/>
      <c r="I23" s="303"/>
      <c r="J23" s="303"/>
      <c r="K23" s="303"/>
    </row>
    <row r="24" spans="1:18" s="16" customFormat="1" ht="19.899999999999999" customHeight="1" x14ac:dyDescent="0.25">
      <c r="A24" s="260"/>
      <c r="B24" s="527" t="s">
        <v>308</v>
      </c>
      <c r="C24" s="527"/>
      <c r="D24" s="528" t="s">
        <v>318</v>
      </c>
      <c r="E24" s="530" t="str">
        <f>IF($E17="krit","Blendarm","Standard")</f>
        <v>Standard</v>
      </c>
      <c r="F24" s="532" cm="1">
        <f t="array" ref="F24">_xlfn.IFS(_Dach_Typ="Sd",0,_Dach_Typ="Pp",0,TRUE,IF(E17="krit",_Modulleistung_Blendarm,_Modulleistung_Standard))</f>
        <v>475</v>
      </c>
      <c r="G24" s="527" t="s">
        <v>50</v>
      </c>
      <c r="H24" s="527"/>
      <c r="I24" s="527"/>
      <c r="J24" s="527"/>
      <c r="K24" s="527"/>
    </row>
    <row r="25" spans="1:18" s="16" customFormat="1" ht="19.5" customHeight="1" x14ac:dyDescent="0.25">
      <c r="A25" s="260"/>
      <c r="B25" s="533" t="s">
        <v>549</v>
      </c>
      <c r="C25" s="533"/>
      <c r="D25" s="455"/>
      <c r="E25" s="534"/>
      <c r="F25" s="535" t="str">
        <f>IF(OR(_Dach_Typ="Sd",_Dach_Typ="Pp"),"Stk. ("&amp;E23&amp;")","")</f>
        <v/>
      </c>
      <c r="G25" s="533" t="s">
        <v>551</v>
      </c>
      <c r="H25" s="533"/>
      <c r="I25" s="533"/>
      <c r="J25" s="533"/>
      <c r="K25" s="533"/>
    </row>
    <row r="26" spans="1:18" s="151" customFormat="1" ht="19.5" customHeight="1" x14ac:dyDescent="0.2">
      <c r="A26" s="263"/>
      <c r="B26" s="527" t="str">
        <f>"Davon in Hauptausrichtung: "&amp;E14&amp;"°"</f>
        <v>Davon in Hauptausrichtung: °</v>
      </c>
      <c r="C26" s="527"/>
      <c r="D26" s="528" t="s">
        <v>319</v>
      </c>
      <c r="E26" s="536">
        <f>IF(OR(_Dach_Typ="Sd",_Dach_Typ="Pp"),E25,
IF(AND(OR(_Dach_Typ="Fd",_Dach_Typ="Fdg"),OR(ISBLANK(G26),G26&gt;E25)),ROUNDUP(E25/2,0),G26))</f>
        <v>0</v>
      </c>
      <c r="F26" s="530" t="str">
        <f>"Stk. ("&amp;E23&amp;")"</f>
        <v>Stk. (Standard)</v>
      </c>
      <c r="G26" s="537"/>
      <c r="H26" s="530" t="s">
        <v>82</v>
      </c>
      <c r="I26" s="527" t="str">
        <f>IF(G26&gt;E25,"ungültiger Wert","Manuelle Eingabe")</f>
        <v>Manuelle Eingabe</v>
      </c>
      <c r="J26" s="527"/>
      <c r="K26" s="527"/>
      <c r="M26" s="155"/>
    </row>
    <row r="27" spans="1:18" s="151" customFormat="1" ht="19.5" customHeight="1" x14ac:dyDescent="0.2">
      <c r="A27" s="263"/>
      <c r="B27" s="538" t="str">
        <f>"und in Zweitausrichtung: "&amp;E14-180*SIGN(E14)&amp;"°"</f>
        <v>und in Zweitausrichtung: 0°</v>
      </c>
      <c r="C27" s="538"/>
      <c r="D27" s="539" t="s">
        <v>320</v>
      </c>
      <c r="E27" s="540">
        <f>E25-E26</f>
        <v>0</v>
      </c>
      <c r="F27" s="541" t="str">
        <f>"Stk. ("&amp;E24&amp;")"</f>
        <v>Stk. (Standard)</v>
      </c>
      <c r="G27" s="542"/>
      <c r="H27" s="538"/>
      <c r="I27" s="538"/>
      <c r="J27" s="538"/>
      <c r="K27" s="538"/>
      <c r="M27" s="155"/>
    </row>
    <row r="28" spans="1:18" s="16" customFormat="1" ht="19.5" customHeight="1" x14ac:dyDescent="0.25">
      <c r="A28" s="260"/>
      <c r="B28" s="303" t="s">
        <v>550</v>
      </c>
      <c r="C28" s="303"/>
      <c r="D28" s="516"/>
      <c r="E28" s="543">
        <f>E25</f>
        <v>0</v>
      </c>
      <c r="F28" s="535" t="str">
        <f>IF(OR(_Dach_Typ="Sd",_Dach_Typ="Pp"),"Stk. ("&amp;E23&amp;")","")</f>
        <v/>
      </c>
      <c r="G28" s="303" t="s">
        <v>552</v>
      </c>
      <c r="H28" s="303"/>
      <c r="I28" s="303"/>
      <c r="J28" s="303"/>
      <c r="K28" s="303"/>
    </row>
    <row r="29" spans="1:18" s="16" customFormat="1" ht="19.5" customHeight="1" x14ac:dyDescent="0.25">
      <c r="A29" s="260"/>
      <c r="B29" s="527" t="str">
        <f>"Davon in Hauptausrichtung: "&amp;E14&amp;"°"</f>
        <v>Davon in Hauptausrichtung: °</v>
      </c>
      <c r="C29" s="527"/>
      <c r="D29" s="528" t="s">
        <v>321</v>
      </c>
      <c r="E29" s="536">
        <f>IF(OR(_Dach_Typ="Sd",_Dach_Typ="Pp"),E28,
IF(AND(OR(_Dach_Typ="Fd",_Dach_Typ="Fdg"),OR(ISBLANK(G29),G29&gt;E28)),ROUNDUP(E28/2,0),G29))</f>
        <v>0</v>
      </c>
      <c r="F29" s="530" t="str">
        <f>"Stk. ("&amp;E23&amp;")"</f>
        <v>Stk. (Standard)</v>
      </c>
      <c r="G29" s="537"/>
      <c r="H29" s="530" t="s">
        <v>82</v>
      </c>
      <c r="I29" s="527" t="str">
        <f>IF(G29&gt;E28,"ungültiger Wert","Manuelle Eingabe")</f>
        <v>Manuelle Eingabe</v>
      </c>
      <c r="J29" s="527"/>
      <c r="K29" s="527"/>
    </row>
    <row r="30" spans="1:18" s="16" customFormat="1" ht="19.5" customHeight="1" x14ac:dyDescent="0.25">
      <c r="A30" s="260"/>
      <c r="B30" s="527" t="str">
        <f>"und in Zweitausrichtung: "&amp;E14-180*SIGN(E14)&amp;"°"</f>
        <v>und in Zweitausrichtung: 0°</v>
      </c>
      <c r="C30" s="527"/>
      <c r="D30" s="528" t="s">
        <v>322</v>
      </c>
      <c r="E30" s="536">
        <f>E28-E29</f>
        <v>0</v>
      </c>
      <c r="F30" s="530" t="str">
        <f>"Stk. ("&amp;E24&amp;")"</f>
        <v>Stk. (Standard)</v>
      </c>
      <c r="G30" s="544"/>
      <c r="H30" s="527"/>
      <c r="I30" s="527"/>
      <c r="J30" s="527"/>
      <c r="K30" s="527"/>
    </row>
    <row r="31" spans="1:18" ht="12.75" x14ac:dyDescent="0.2"/>
    <row r="32" spans="1:18" s="12" customFormat="1" ht="20.25" x14ac:dyDescent="0.3">
      <c r="A32" s="259"/>
      <c r="B32" s="679" t="s">
        <v>179</v>
      </c>
      <c r="C32" s="679"/>
      <c r="D32" s="679"/>
      <c r="E32" s="679"/>
      <c r="F32" s="679"/>
      <c r="N32"/>
      <c r="O32"/>
      <c r="P32"/>
      <c r="Q32"/>
      <c r="R32"/>
    </row>
    <row r="33" spans="1:18" s="16" customFormat="1" ht="19.899999999999999" customHeight="1" x14ac:dyDescent="0.3">
      <c r="A33" s="260"/>
      <c r="B33" s="303" t="s">
        <v>543</v>
      </c>
      <c r="C33" s="303" t="s">
        <v>288</v>
      </c>
      <c r="D33" s="516"/>
      <c r="E33" s="545">
        <f>_Spez_Ertrag_Standort</f>
        <v>900</v>
      </c>
      <c r="F33" s="522" t="s">
        <v>97</v>
      </c>
      <c r="G33" s="303" t="str">
        <f>"Spezifischer Ertrag am Standort bei horizontaler Montage"</f>
        <v>Spezifischer Ertrag am Standort bei horizontaler Montage</v>
      </c>
      <c r="H33" s="303"/>
      <c r="I33" s="303"/>
      <c r="J33" s="303"/>
      <c r="K33" s="303"/>
    </row>
    <row r="34" spans="1:18" s="16" customFormat="1" ht="19.5" customHeight="1" x14ac:dyDescent="0.3">
      <c r="A34" s="260"/>
      <c r="B34" s="297" t="s">
        <v>544</v>
      </c>
      <c r="C34" s="297" t="str">
        <f>IF(OR(_Dach_Typ="Fdg",_Dach_Typ="Fd"),"Hauptausrichtung","Ausrichtung")</f>
        <v>Ausrichtung</v>
      </c>
      <c r="D34" s="437" t="s">
        <v>323</v>
      </c>
      <c r="E34" s="546" cm="1">
        <f t="array" ref="E34">(INDEX(_Faktor_Ausrichtung,ROUND(((E15/_RasterNeigung))+1,0),ROUND((((E14)/_RasterAzimut))+180/_RasterAzimut+1,0),1))</f>
        <v>1</v>
      </c>
      <c r="F34" s="524"/>
      <c r="G34" s="297" t="str">
        <f>"Abweichung durch "&amp;C34</f>
        <v>Abweichung durch Ausrichtung</v>
      </c>
      <c r="H34" s="297"/>
      <c r="I34" s="297"/>
      <c r="J34" s="297"/>
      <c r="K34" s="297"/>
      <c r="M34" s="156"/>
    </row>
    <row r="35" spans="1:18" s="16" customFormat="1" ht="19.5" customHeight="1" x14ac:dyDescent="0.3">
      <c r="A35" s="260"/>
      <c r="B35" s="527" t="s">
        <v>545</v>
      </c>
      <c r="C35" s="527" t="s">
        <v>289</v>
      </c>
      <c r="D35" s="528" t="s">
        <v>283</v>
      </c>
      <c r="E35" s="547" cm="1">
        <f t="array" ref="E35">INDEX(_Faktor_Ausrichtung,ROUND(((E15/_RasterNeigung))+1,0),ROUND((((E14-180*SIGN(E14))/_RasterAzimut))+180/_RasterAzimut+1,0),1)</f>
        <v>1</v>
      </c>
      <c r="F35" s="530"/>
      <c r="G35" s="536" t="str">
        <f>"Abweichung durch "&amp;C35</f>
        <v>Abweichung durch Zweitausrichtung</v>
      </c>
      <c r="H35" s="530"/>
      <c r="I35" s="527"/>
      <c r="J35" s="527"/>
      <c r="K35" s="527"/>
    </row>
    <row r="36" spans="1:18" s="21" customFormat="1" ht="19.899999999999999" hidden="1" customHeight="1" x14ac:dyDescent="0.3">
      <c r="A36" s="261"/>
      <c r="B36" s="437" t="s">
        <v>543</v>
      </c>
      <c r="C36" s="437" t="s">
        <v>290</v>
      </c>
      <c r="D36" s="437"/>
      <c r="E36" s="548" t="str">
        <f>IFERROR(E33*((E34*E26)+(E35*E27))/(E26+E27),"")</f>
        <v/>
      </c>
      <c r="F36" s="549" t="s">
        <v>97</v>
      </c>
      <c r="G36" s="437" t="s">
        <v>95</v>
      </c>
      <c r="H36" s="437"/>
      <c r="I36" s="437"/>
      <c r="J36" s="437"/>
      <c r="K36" s="437"/>
      <c r="L36" s="16"/>
    </row>
    <row r="37" spans="1:18" s="21" customFormat="1" ht="19.899999999999999" hidden="1" customHeight="1" x14ac:dyDescent="0.3">
      <c r="A37" s="261"/>
      <c r="B37" s="437" t="s">
        <v>543</v>
      </c>
      <c r="C37" s="437" t="s">
        <v>291</v>
      </c>
      <c r="D37" s="437"/>
      <c r="E37" s="548" t="str">
        <f>IFERROR(E33*((E34*E29)+(E35*E30))/(E29+E30),"")</f>
        <v/>
      </c>
      <c r="F37" s="549" t="s">
        <v>97</v>
      </c>
      <c r="G37" s="437" t="s">
        <v>95</v>
      </c>
      <c r="H37" s="437"/>
      <c r="I37" s="437"/>
      <c r="J37" s="437"/>
      <c r="K37" s="437"/>
      <c r="L37" s="16"/>
    </row>
    <row r="38" spans="1:18" s="16" customFormat="1" ht="19.5" customHeight="1" x14ac:dyDescent="0.3">
      <c r="A38" s="260"/>
      <c r="B38" s="297" t="s">
        <v>543</v>
      </c>
      <c r="C38" s="297" t="str">
        <f>C34</f>
        <v>Ausrichtung</v>
      </c>
      <c r="D38" s="437" t="s">
        <v>332</v>
      </c>
      <c r="E38" s="550"/>
      <c r="F38" s="524" t="s">
        <v>97</v>
      </c>
      <c r="G38" s="297" t="s">
        <v>96</v>
      </c>
      <c r="H38" s="297"/>
      <c r="I38" s="297"/>
      <c r="J38" s="297"/>
      <c r="K38" s="297"/>
      <c r="M38" s="156"/>
    </row>
    <row r="39" spans="1:18" s="16" customFormat="1" ht="19.5" customHeight="1" x14ac:dyDescent="0.3">
      <c r="A39" s="260"/>
      <c r="B39" s="551" t="s">
        <v>546</v>
      </c>
      <c r="C39" s="551" t="s">
        <v>289</v>
      </c>
      <c r="D39" s="552"/>
      <c r="E39" s="553"/>
      <c r="F39" s="554" t="s">
        <v>97</v>
      </c>
      <c r="G39" s="551" t="s">
        <v>96</v>
      </c>
      <c r="H39" s="551"/>
      <c r="I39" s="551"/>
      <c r="J39" s="551"/>
      <c r="K39" s="551"/>
    </row>
    <row r="40" spans="1:18" s="16" customFormat="1" ht="19.899999999999999" customHeight="1" x14ac:dyDescent="0.3">
      <c r="A40" s="260"/>
      <c r="B40" s="297" t="s">
        <v>543</v>
      </c>
      <c r="C40" s="297" t="s">
        <v>292</v>
      </c>
      <c r="D40" s="437" t="s">
        <v>284</v>
      </c>
      <c r="E40" s="555" t="str">
        <f>IF(AND(OR(_Dach_Typ="Fdg",_Dach_Typ="Fd"),E27&gt;0,ISNUMBER(E38),ISNUMBER(E39)),(E38*E26+E39*E27)/(E25),
IF(AND(OR(AND(OR(_Dach_Typ="Fdg",_Dach_Typ="Fd"),E27=0),_Dach_Typ="Sd",_Dach_Typ="Pp"),ISNUMBER(E38)),E38,
IF(AND(OR(E27&gt;0,E30&gt;0),ISNUMBER(E38),NOT(ISNUMBER(E39))),0,E36)))</f>
        <v/>
      </c>
      <c r="F40" s="524" t="s">
        <v>97</v>
      </c>
      <c r="G40" s="297" t="str">
        <f>IF(E40=0,"Eingabe Zweitausrichtung erforderlich","Rechenwert spez. Jahresertrag bei technischer Vollbelegung")</f>
        <v>Rechenwert spez. Jahresertrag bei technischer Vollbelegung</v>
      </c>
      <c r="H40" s="297"/>
      <c r="I40" s="297"/>
      <c r="J40" s="297"/>
      <c r="K40" s="297"/>
    </row>
    <row r="41" spans="1:18" s="16" customFormat="1" ht="19.899999999999999" customHeight="1" x14ac:dyDescent="0.3">
      <c r="A41" s="260"/>
      <c r="B41" s="372" t="s">
        <v>543</v>
      </c>
      <c r="C41" s="372" t="s">
        <v>293</v>
      </c>
      <c r="D41" s="449" t="s">
        <v>285</v>
      </c>
      <c r="E41" s="556" t="str">
        <f>IF(AND(OR(_Dach_Typ="Fdg",_Dach_Typ="Fd"),E30&gt;0,ISNUMBER(E38),ISNUMBER(E39)),(E38*E29+E39*E30)/(E28),
IF(AND(OR(AND(OR(_Dach_Typ="Fdg",_Dach_Typ="Fd"),E30=0),_Dach_Typ="Sd",_Dach_Typ="Pp"),ISNUMBER(E38)),E38,E37))</f>
        <v/>
      </c>
      <c r="F41" s="515" t="s">
        <v>97</v>
      </c>
      <c r="G41" s="372" t="str">
        <f>IF(E41=0,"Eingabe Zweitausrichtung erforderlich","Rechenwert spez. Jahresertrag bei gesetzlichem Minimum")</f>
        <v>Rechenwert spez. Jahresertrag bei gesetzlichem Minimum</v>
      </c>
      <c r="H41" s="372"/>
      <c r="I41" s="372"/>
      <c r="J41" s="372"/>
      <c r="K41" s="372"/>
    </row>
    <row r="42" spans="1:18" ht="12.75" x14ac:dyDescent="0.2"/>
    <row r="43" spans="1:18" s="12" customFormat="1" ht="20.25" x14ac:dyDescent="0.3">
      <c r="A43" s="259"/>
      <c r="B43" s="286" t="s">
        <v>221</v>
      </c>
      <c r="D43" s="150"/>
      <c r="E43" s="719" t="s">
        <v>383</v>
      </c>
      <c r="F43" s="719"/>
      <c r="G43" s="719"/>
      <c r="H43" s="719" t="s">
        <v>384</v>
      </c>
      <c r="I43" s="719"/>
      <c r="J43" s="719"/>
      <c r="K43" s="719"/>
      <c r="N43"/>
      <c r="O43"/>
      <c r="P43"/>
      <c r="Q43"/>
      <c r="R43"/>
    </row>
    <row r="44" spans="1:18" s="12" customFormat="1" ht="19.5" customHeight="1" x14ac:dyDescent="0.3">
      <c r="A44" s="259"/>
      <c r="B44" s="303" t="s">
        <v>363</v>
      </c>
      <c r="C44" s="303"/>
      <c r="D44" s="516"/>
      <c r="E44" s="545">
        <f ca="1">IFERROR(_EIV_t.Vb./_Anlageleistung_t.Vb.*E51,0)</f>
        <v>0</v>
      </c>
      <c r="F44" s="522" t="s">
        <v>31</v>
      </c>
      <c r="G44" s="428"/>
      <c r="H44" s="545">
        <f ca="1">IFERROR(_EIV_g.Min./_Anlageleistung_g.Min.*E60,0)</f>
        <v>0</v>
      </c>
      <c r="I44" s="296" t="s">
        <v>31</v>
      </c>
      <c r="J44" s="429"/>
      <c r="K44"/>
      <c r="M44" s="218"/>
      <c r="N44"/>
      <c r="O44"/>
      <c r="P44"/>
      <c r="Q44"/>
      <c r="R44"/>
    </row>
    <row r="45" spans="1:18" s="16" customFormat="1" ht="19.899999999999999" customHeight="1" x14ac:dyDescent="0.25">
      <c r="A45" s="260"/>
      <c r="B45" s="303" t="s">
        <v>222</v>
      </c>
      <c r="C45" s="303"/>
      <c r="D45" s="516" t="s">
        <v>313</v>
      </c>
      <c r="E45" s="545">
        <f>IF(AND(E15&gt;=_Neigungswinkel_für_NB_Bund,E15&lt;=90),(E26*F23)/1000*_Bonus_Neigungswinkel_Bund+IF(OR(_Dach_Typ="Fd",_Dach_Typ="Fdg"),(F24*E27)/1000*_Bonus_Neigungswinkel_Bund,0),0)</f>
        <v>0</v>
      </c>
      <c r="F45" s="429" t="s">
        <v>31</v>
      </c>
      <c r="G45" s="514"/>
      <c r="H45" s="545">
        <f>IF(AND(E15&gt;=_Neigungswinkel_für_NB_Bund,E15&lt;=90),(E29*F23)/1000*_Bonus_Neigungswinkel_Bund+IF(OR(_Dach_Typ="Fd",_Dach_Typ="Fdg"),(F24*E30)/1000*_Bonus_Neigungswinkel_Bund,0),0)</f>
        <v>0</v>
      </c>
      <c r="I45" s="303" t="s">
        <v>31</v>
      </c>
      <c r="J45" s="429"/>
      <c r="K45"/>
    </row>
    <row r="46" spans="1:18" s="16" customFormat="1" ht="19.899999999999999" customHeight="1" x14ac:dyDescent="0.25">
      <c r="A46" s="260"/>
      <c r="B46" s="297" t="s">
        <v>223</v>
      </c>
      <c r="C46" s="297"/>
      <c r="D46" s="437" t="s">
        <v>314</v>
      </c>
      <c r="E46" s="555">
        <f>IFERROR(IF(AND(E11=Basisdaten!B154,(E26*F23+E27*F24)/1000&gt;=_Schwelle_PPBonus),(E26*F23+E27*F24)/1000*_Bonus_Pp_pronovo,0),0)</f>
        <v>0</v>
      </c>
      <c r="F46" s="557" t="s">
        <v>31</v>
      </c>
      <c r="G46" s="514"/>
      <c r="H46" s="555">
        <f>IFERROR(IF(AND(E11=Basisdaten!B154,(E29*F23+E30*F24)/1000&gt;=_Schwelle_PPBonus),(E29*F23+E30*F24)/1000*_Bonus_Pp_pronovo,0),0)</f>
        <v>0</v>
      </c>
      <c r="I46" s="297" t="s">
        <v>31</v>
      </c>
      <c r="J46" s="429"/>
      <c r="K46"/>
      <c r="M46" s="156"/>
    </row>
    <row r="47" spans="1:18" s="16" customFormat="1" ht="19.899999999999999" customHeight="1" x14ac:dyDescent="0.25">
      <c r="A47" s="260"/>
      <c r="B47" s="297" t="s">
        <v>281</v>
      </c>
      <c r="C47" s="297"/>
      <c r="D47" s="437" t="s">
        <v>310</v>
      </c>
      <c r="E47" s="555">
        <f>IF(AND(E15&gt;=_Neigungswinkel_für_NB_Bund,E15&lt;=90,NOT(_Dach_Typ="Fdg")),
((E17="unk")*E26*_Modullänge_Standard*_Modulbreite_Standard
+(E16="unk")*E27*_Modullänge_Standard*_Modulbreite_Standard
+(E17="krit")*E26*_Modullänge_Blendarm*_Modulbreite_Blendarm
+(E16="krit")*E27*_Modullänge_Blendarm*_Modulbreite_Blendarm)
*_Bonus_Steil_Stadt,0)</f>
        <v>0</v>
      </c>
      <c r="F47" s="557" t="s">
        <v>31</v>
      </c>
      <c r="G47" s="514"/>
      <c r="H47" s="555">
        <f>IF(AND(E15&gt;=_Neigungswinkel_für_NB_Bund,E15&lt;=90,NOT(_Dach_Typ="Fdg")),
((E17="unk")*E29*_Modullänge_Standard*_Modulbreite_Standard
+(E16="unk")*E30*_Modullänge_Standard*_Modulbreite_Standard
+(E17="krit")*E29*_Modullänge_Blendarm*_Modulbreite_Blendarm
+(E16="krit")*E30*_Modullänge_Blendarm*_Modulbreite_Blendarm)
*_Bonus_Steil_Stadt,0)</f>
        <v>0</v>
      </c>
      <c r="I47" s="297" t="s">
        <v>31</v>
      </c>
      <c r="J47" s="429"/>
      <c r="K47"/>
      <c r="M47" s="218"/>
    </row>
    <row r="48" spans="1:18" s="16" customFormat="1" ht="19.899999999999999" customHeight="1" x14ac:dyDescent="0.25">
      <c r="A48" s="260"/>
      <c r="B48" s="297" t="s">
        <v>309</v>
      </c>
      <c r="C48" s="297"/>
      <c r="D48" s="437" t="s">
        <v>311</v>
      </c>
      <c r="E48" s="555">
        <f>IF(_Dach_Typ="Fdg",(E26*F23+E27*F24)/1000*_Bonus_Gründach_Stadt,0)</f>
        <v>0</v>
      </c>
      <c r="F48" s="557" t="s">
        <v>31</v>
      </c>
      <c r="G48" s="514"/>
      <c r="H48" s="555">
        <f>IF(_Dach_Typ="Fdg",(E29*F23+E30*F24)/1000*_Bonus_Gründach_Stadt,0)</f>
        <v>0</v>
      </c>
      <c r="I48" s="297" t="s">
        <v>31</v>
      </c>
      <c r="J48" s="429"/>
      <c r="K48"/>
    </row>
    <row r="49" spans="1:18" s="16" customFormat="1" ht="19.899999999999999" customHeight="1" x14ac:dyDescent="0.25">
      <c r="A49" s="260"/>
      <c r="B49" s="372" t="s">
        <v>282</v>
      </c>
      <c r="C49" s="372"/>
      <c r="D49" s="449" t="s">
        <v>312</v>
      </c>
      <c r="E49" s="556">
        <f>IF(E16="krit",E26*F23/1000*_Bonus_Blendarm_Stadt,0)
+IF(AND(OR(_Dach_Typ="Fd",_Dach_Typ="Fdg"),E17="krit"),F24*E27/1000*_Bonus_Blendarm_Stadt,0)</f>
        <v>0</v>
      </c>
      <c r="F49" s="558" t="s">
        <v>31</v>
      </c>
      <c r="G49" s="514"/>
      <c r="H49" s="556">
        <f>IF(E16="krit",E29*F23/1000*_Bonus_Blendarm_Stadt,0)
+IF(AND(OR(_Dach_Typ="Fd",_Dach_Typ="Fdg"),E17="krit"),F24*E30/1000*_Bonus_Blendarm_Stadt,0)</f>
        <v>0</v>
      </c>
      <c r="I49" s="372" t="s">
        <v>31</v>
      </c>
      <c r="J49" s="429"/>
      <c r="K49"/>
    </row>
    <row r="50" spans="1:18" s="150" customFormat="1" ht="21" hidden="1" thickBot="1" x14ac:dyDescent="0.35">
      <c r="A50" s="264"/>
      <c r="B50" s="230" t="s">
        <v>368</v>
      </c>
      <c r="C50" s="25"/>
      <c r="D50" s="25"/>
      <c r="E50" s="25"/>
      <c r="F50" s="25"/>
      <c r="G50" s="25"/>
      <c r="H50" s="25"/>
      <c r="I50" s="25"/>
      <c r="J50" s="25"/>
      <c r="K50" s="231"/>
      <c r="L50" s="12"/>
      <c r="N50" s="14"/>
      <c r="O50" s="14"/>
      <c r="P50" s="14"/>
      <c r="Q50" s="14"/>
      <c r="R50" s="14"/>
    </row>
    <row r="51" spans="1:18" s="21" customFormat="1" ht="19.899999999999999" hidden="1" customHeight="1" x14ac:dyDescent="0.25">
      <c r="A51" s="261"/>
      <c r="B51" s="39" t="s">
        <v>28</v>
      </c>
      <c r="C51" s="19"/>
      <c r="D51" s="19" t="str">
        <f ca="1">CONCATENATE(B1,Basisdaten!A84)</f>
        <v>Dachfläche (2)P_TF_t.Vb.</v>
      </c>
      <c r="E51" s="232">
        <f>IF(E25&lt;6,0,
IF(AND(OR(_Dach_Typ="Fd",_Dach_Typ="Fdg"),ISNUMBER(F23),ISNUMBER(F24)),(E26*F23+E27*F24)/1000,
IF(ISNUMBER(F23),(E26*F23)/1000,0)))</f>
        <v>0</v>
      </c>
      <c r="F51" s="233" t="s">
        <v>102</v>
      </c>
      <c r="G51" s="234" t="str" cm="1">
        <f t="array" ref="G51">_xlfn.IFS(E25&lt;6,"Keine Nutzungspflicht",E16="offen","Reflektion ungeklärt",E17="offen","Reflektion ungeklärt",TRUE,"")</f>
        <v>Keine Nutzungspflicht</v>
      </c>
      <c r="H51" s="234"/>
      <c r="I51" s="234"/>
      <c r="J51" s="220"/>
      <c r="K51" s="235"/>
      <c r="L51" s="16"/>
    </row>
    <row r="52" spans="1:18" s="21" customFormat="1" ht="19.899999999999999" hidden="1" customHeight="1" x14ac:dyDescent="0.25">
      <c r="A52" s="261"/>
      <c r="B52" s="48" t="s">
        <v>357</v>
      </c>
      <c r="C52" s="27"/>
      <c r="D52" s="27"/>
      <c r="E52" s="49">
        <f>IF(E51&gt;0,VLOOKUP(D51,Basisdaten!C:E,3,FALSE),0)</f>
        <v>0</v>
      </c>
      <c r="F52" s="26" t="s">
        <v>52</v>
      </c>
      <c r="G52" s="223"/>
      <c r="H52" s="223"/>
      <c r="I52" s="223"/>
      <c r="J52" s="27"/>
      <c r="K52" s="224"/>
      <c r="L52" s="16"/>
    </row>
    <row r="53" spans="1:18" s="21" customFormat="1" ht="19.899999999999999" hidden="1" customHeight="1" x14ac:dyDescent="0.25">
      <c r="A53" s="261"/>
      <c r="B53" s="20" t="s">
        <v>29</v>
      </c>
      <c r="C53" s="17"/>
      <c r="D53" s="17"/>
      <c r="E53" s="24">
        <f>IF(E51&gt;0,E51*VLOOKUP(D51,Basisdaten!C:E,3,FALSE),0)</f>
        <v>0</v>
      </c>
      <c r="F53" s="22" t="s">
        <v>31</v>
      </c>
      <c r="G53" s="37"/>
      <c r="H53" s="37"/>
      <c r="I53" s="37"/>
      <c r="J53" s="17"/>
      <c r="K53" s="23"/>
      <c r="L53" s="16"/>
    </row>
    <row r="54" spans="1:18" s="21" customFormat="1" ht="19.899999999999999" hidden="1" customHeight="1" x14ac:dyDescent="0.25">
      <c r="A54" s="261"/>
      <c r="B54" s="20" t="s">
        <v>264</v>
      </c>
      <c r="C54" s="17"/>
      <c r="D54" s="17"/>
      <c r="E54" s="24">
        <f>IF(E16="krit",E26*_Aufpreis_Blendarm,0)
+IF(E17="krit",E27*_Aufpreis_Blendarm,0)</f>
        <v>0</v>
      </c>
      <c r="F54" s="22" t="s">
        <v>31</v>
      </c>
      <c r="G54" s="37"/>
      <c r="H54" s="37"/>
      <c r="I54" s="37"/>
      <c r="J54" s="17"/>
      <c r="K54" s="23"/>
      <c r="L54" s="16"/>
    </row>
    <row r="55" spans="1:18" s="21" customFormat="1" ht="19.899999999999999" hidden="1" customHeight="1" x14ac:dyDescent="0.25">
      <c r="A55" s="261"/>
      <c r="B55" s="20" t="s">
        <v>253</v>
      </c>
      <c r="C55" s="17"/>
      <c r="D55" s="17"/>
      <c r="E55" s="24">
        <f>IF(E51&gt;0,-SUM(E44:E49),0)</f>
        <v>0</v>
      </c>
      <c r="F55" s="22" t="s">
        <v>31</v>
      </c>
      <c r="G55" s="37"/>
      <c r="H55" s="37"/>
      <c r="I55" s="37"/>
      <c r="J55" s="17"/>
      <c r="K55" s="23"/>
      <c r="L55" s="16"/>
    </row>
    <row r="56" spans="1:18" s="21" customFormat="1" ht="19.899999999999999" hidden="1" customHeight="1" x14ac:dyDescent="0.25">
      <c r="A56" s="261"/>
      <c r="B56" s="20" t="s">
        <v>196</v>
      </c>
      <c r="C56" s="17"/>
      <c r="D56" s="17"/>
      <c r="E56" s="24">
        <f>SUM(E53:E55)</f>
        <v>0</v>
      </c>
      <c r="F56" s="22" t="s">
        <v>31</v>
      </c>
      <c r="G56" s="37"/>
      <c r="H56" s="37"/>
      <c r="I56" s="37"/>
      <c r="J56" s="17"/>
      <c r="K56" s="23"/>
      <c r="L56" s="16"/>
    </row>
    <row r="57" spans="1:18" s="21" customFormat="1" ht="19.899999999999999" hidden="1" customHeight="1" thickBot="1" x14ac:dyDescent="0.3">
      <c r="A57" s="261"/>
      <c r="B57" s="236" t="s">
        <v>367</v>
      </c>
      <c r="C57" s="28"/>
      <c r="D57" s="28" t="s">
        <v>349</v>
      </c>
      <c r="E57" s="237">
        <f>IFERROR(E56/(E40*E51)*100/25,0)</f>
        <v>0</v>
      </c>
      <c r="F57" s="157" t="s">
        <v>32</v>
      </c>
      <c r="G57" s="28" t="s">
        <v>294</v>
      </c>
      <c r="H57" s="238"/>
      <c r="I57" s="238"/>
      <c r="J57" s="28"/>
      <c r="K57" s="239"/>
      <c r="L57" s="16"/>
      <c r="M57" s="240"/>
    </row>
    <row r="58" spans="1:18" s="14" customFormat="1" ht="12.75" hidden="1" x14ac:dyDescent="0.2">
      <c r="A58" s="262"/>
      <c r="L58"/>
    </row>
    <row r="59" spans="1:18" s="150" customFormat="1" ht="21" hidden="1" thickBot="1" x14ac:dyDescent="0.35">
      <c r="A59" s="264"/>
      <c r="B59" s="230" t="s">
        <v>362</v>
      </c>
      <c r="C59" s="25"/>
      <c r="D59" s="25"/>
      <c r="E59" s="25"/>
      <c r="F59" s="25"/>
      <c r="G59" s="25"/>
      <c r="H59" s="25"/>
      <c r="I59" s="25"/>
      <c r="J59" s="25"/>
      <c r="K59" s="231"/>
      <c r="L59" s="12"/>
      <c r="N59" s="14"/>
      <c r="O59" s="14"/>
      <c r="P59" s="14"/>
      <c r="Q59" s="14"/>
      <c r="R59" s="14"/>
    </row>
    <row r="60" spans="1:18" s="21" customFormat="1" ht="19.899999999999999" hidden="1" customHeight="1" x14ac:dyDescent="0.25">
      <c r="A60" s="261"/>
      <c r="B60" s="39" t="s">
        <v>28</v>
      </c>
      <c r="C60" s="19"/>
      <c r="D60" s="19" t="str">
        <f ca="1">CONCATENATE(B1,Basisdaten!A99)</f>
        <v>Dachfläche (2)P_TF_g.Min.</v>
      </c>
      <c r="E60" s="232">
        <f>IF(E28&lt;6,0,
IF(AND(OR(_Dach_Typ="Fd",_Dach_Typ="Fdg"),ISNUMBER(F23),ISNUMBER(F24)),(E29*F23+E30*F24)/1000,
IF(ISNUMBER(F23),(E29*F23)/1000,0)))</f>
        <v>0</v>
      </c>
      <c r="F60" s="241" t="s">
        <v>102</v>
      </c>
      <c r="G60" s="19" t="str" cm="1">
        <f t="array" ref="G60">_xlfn.IFS(E28&lt;6,"Keine Nutzungspflicht",E16="offen","Reflektion ungeklärt",E17="offen","Reflektion ungeklärt",TRUE,"")</f>
        <v>Keine Nutzungspflicht</v>
      </c>
      <c r="H60" s="232"/>
      <c r="I60" s="241"/>
      <c r="J60" s="19"/>
      <c r="K60" s="242"/>
      <c r="L60" s="16"/>
    </row>
    <row r="61" spans="1:18" s="21" customFormat="1" ht="19.899999999999999" hidden="1" customHeight="1" x14ac:dyDescent="0.25">
      <c r="A61" s="261"/>
      <c r="B61" s="20" t="s">
        <v>357</v>
      </c>
      <c r="C61" s="17"/>
      <c r="D61" s="17"/>
      <c r="E61" s="24">
        <f>IF(E60&gt;0,VLOOKUP(D60,Basisdaten!C:E,3,FALSE),0)</f>
        <v>0</v>
      </c>
      <c r="F61" s="22" t="s">
        <v>31</v>
      </c>
      <c r="G61" s="17"/>
      <c r="H61" s="24"/>
      <c r="I61" s="22"/>
      <c r="J61" s="17"/>
      <c r="K61" s="23"/>
      <c r="L61" s="16"/>
    </row>
    <row r="62" spans="1:18" s="21" customFormat="1" ht="19.899999999999999" hidden="1" customHeight="1" x14ac:dyDescent="0.25">
      <c r="A62" s="261"/>
      <c r="B62" s="20" t="s">
        <v>29</v>
      </c>
      <c r="C62" s="17"/>
      <c r="D62" s="17"/>
      <c r="E62" s="24">
        <f>IF(E60&gt;0,E60*VLOOKUP(D60,Basisdaten!C:E,3,FALSE),0)</f>
        <v>0</v>
      </c>
      <c r="F62" s="22" t="s">
        <v>31</v>
      </c>
      <c r="G62" s="17"/>
      <c r="H62" s="24"/>
      <c r="I62" s="22"/>
      <c r="J62" s="17"/>
      <c r="K62" s="23"/>
      <c r="L62" s="16"/>
    </row>
    <row r="63" spans="1:18" s="21" customFormat="1" ht="19.899999999999999" hidden="1" customHeight="1" x14ac:dyDescent="0.25">
      <c r="A63" s="261"/>
      <c r="B63" s="20" t="s">
        <v>264</v>
      </c>
      <c r="C63" s="17"/>
      <c r="D63" s="17"/>
      <c r="E63" s="24">
        <f>IF(E16="krit",E29*_Aufpreis_Blendarm,0)
+IF(E17="krit",E30*_Aufpreis_Blendarm,0)</f>
        <v>0</v>
      </c>
      <c r="F63" s="22" t="s">
        <v>31</v>
      </c>
      <c r="G63" s="17"/>
      <c r="H63" s="24"/>
      <c r="I63" s="22"/>
      <c r="J63" s="17"/>
      <c r="K63" s="23"/>
      <c r="L63" s="16"/>
    </row>
    <row r="64" spans="1:18" s="21" customFormat="1" ht="19.899999999999999" hidden="1" customHeight="1" x14ac:dyDescent="0.25">
      <c r="A64" s="261"/>
      <c r="B64" s="20" t="s">
        <v>253</v>
      </c>
      <c r="C64" s="17"/>
      <c r="D64" s="17"/>
      <c r="E64" s="24">
        <f>IF(E60&gt;0,-SUM(H44:H49),0)</f>
        <v>0</v>
      </c>
      <c r="F64" s="22" t="s">
        <v>31</v>
      </c>
      <c r="G64" s="17"/>
      <c r="H64" s="24"/>
      <c r="I64" s="22"/>
      <c r="J64" s="17"/>
      <c r="K64" s="23"/>
      <c r="L64" s="16"/>
    </row>
    <row r="65" spans="1:18" s="21" customFormat="1" ht="19.899999999999999" hidden="1" customHeight="1" x14ac:dyDescent="0.25">
      <c r="A65" s="261"/>
      <c r="B65" s="20" t="s">
        <v>196</v>
      </c>
      <c r="C65" s="17"/>
      <c r="D65" s="17"/>
      <c r="E65" s="24">
        <f>SUM(E62:E64)</f>
        <v>0</v>
      </c>
      <c r="F65" s="22" t="s">
        <v>31</v>
      </c>
      <c r="G65" s="17"/>
      <c r="H65" s="24"/>
      <c r="I65" s="22"/>
      <c r="J65" s="17"/>
      <c r="K65" s="23"/>
      <c r="L65" s="16"/>
    </row>
    <row r="66" spans="1:18" s="21" customFormat="1" ht="19.899999999999999" hidden="1" customHeight="1" thickBot="1" x14ac:dyDescent="0.3">
      <c r="A66" s="261"/>
      <c r="B66" s="236" t="s">
        <v>367</v>
      </c>
      <c r="C66" s="28"/>
      <c r="D66" s="28" t="s">
        <v>350</v>
      </c>
      <c r="E66" s="237">
        <f>IFERROR(E65/(E40*E60)*100/25,0)</f>
        <v>0</v>
      </c>
      <c r="F66" s="157" t="s">
        <v>32</v>
      </c>
      <c r="G66" s="28" t="s">
        <v>294</v>
      </c>
      <c r="H66" s="237"/>
      <c r="I66" s="157"/>
      <c r="J66" s="28"/>
      <c r="K66" s="239"/>
      <c r="L66" s="16"/>
    </row>
    <row r="67" spans="1:18" s="14" customFormat="1" ht="12.75" hidden="1" x14ac:dyDescent="0.2">
      <c r="A67" s="262"/>
      <c r="L67"/>
    </row>
    <row r="68" spans="1:18" ht="12.75" x14ac:dyDescent="0.2">
      <c r="D68"/>
    </row>
    <row r="69" spans="1:18" s="12" customFormat="1" ht="20.25" x14ac:dyDescent="0.3">
      <c r="A69" s="259"/>
      <c r="B69" s="679" t="str">
        <f ca="1">"Dachaufbauten "&amp;MID(CELL("dateiname",B2),SEARCH("]",CELL("dateiname",B2))+1,31)</f>
        <v>Dachaufbauten Dachfläche (2)</v>
      </c>
      <c r="C69" s="679"/>
      <c r="D69" s="679"/>
      <c r="E69" s="679"/>
      <c r="N69"/>
      <c r="O69"/>
      <c r="P69"/>
      <c r="Q69"/>
      <c r="R69"/>
    </row>
    <row r="70" spans="1:18" s="14" customFormat="1" ht="12.75" hidden="1" x14ac:dyDescent="0.2">
      <c r="A70" s="262"/>
      <c r="B70" s="29"/>
      <c r="D70" s="14" t="s">
        <v>71</v>
      </c>
      <c r="F70" s="14">
        <v>-90</v>
      </c>
      <c r="G70" s="14">
        <v>-180</v>
      </c>
      <c r="H70" s="14">
        <v>90</v>
      </c>
      <c r="K70" s="30"/>
      <c r="L70"/>
    </row>
    <row r="71" spans="1:18" s="14" customFormat="1" ht="12.75" hidden="1" x14ac:dyDescent="0.2">
      <c r="A71" s="262"/>
      <c r="B71" s="29"/>
      <c r="D71" s="14" t="s">
        <v>60</v>
      </c>
      <c r="F71" s="31">
        <f>RADIANS(F70)</f>
        <v>-1.5707963267948966</v>
      </c>
      <c r="G71" s="31">
        <f t="shared" ref="G71:H71" si="1">RADIANS(G70)</f>
        <v>-3.1415926535897931</v>
      </c>
      <c r="H71" s="31">
        <f t="shared" si="1"/>
        <v>1.5707963267948966</v>
      </c>
      <c r="K71" s="30"/>
      <c r="L71"/>
    </row>
    <row r="72" spans="1:18" s="14" customFormat="1" ht="12.75" hidden="1" x14ac:dyDescent="0.2">
      <c r="A72" s="262"/>
      <c r="B72" s="29"/>
      <c r="D72" s="14" t="s">
        <v>61</v>
      </c>
      <c r="F72" s="14">
        <v>1</v>
      </c>
      <c r="G72" s="14">
        <v>3</v>
      </c>
      <c r="H72" s="14">
        <v>1</v>
      </c>
      <c r="K72" s="30"/>
      <c r="L72"/>
    </row>
    <row r="73" spans="1:18" s="14" customFormat="1" ht="12.75" hidden="1" x14ac:dyDescent="0.2">
      <c r="A73" s="262"/>
      <c r="B73" s="29"/>
      <c r="D73" s="14" t="s">
        <v>72</v>
      </c>
      <c r="F73" s="32">
        <f>$F$72*SIN(ATAN(1/$F$72))/SIN(ASIN(SIN($E$19)*COS($F$71-PI()+$E$18))+ATAN(1/$F$72))</f>
        <v>1</v>
      </c>
      <c r="G73" s="32">
        <f>$G$72*SIN(ATAN(1/$G$72))/SIN(ASIN(SIN(-$E$19)*COS($G$71-PI()+$E$18))+ATAN(1/$G$72))</f>
        <v>3</v>
      </c>
      <c r="H73" s="32">
        <f>$H$72*SIN(ATAN(1/$H$72))/SIN(ASIN(SIN($E$19)*COS($H$71-PI()+$E$18))+ATAN(1/$H$72))</f>
        <v>1</v>
      </c>
      <c r="K73" s="30"/>
      <c r="L73"/>
    </row>
    <row r="74" spans="1:18" s="14" customFormat="1" ht="12.75" hidden="1" x14ac:dyDescent="0.2">
      <c r="A74" s="262"/>
      <c r="B74" s="29"/>
      <c r="D74" s="14" t="s">
        <v>63</v>
      </c>
      <c r="F74" s="31">
        <f>ASIN(SIN($E$19)*COS(F71-$E$18))</f>
        <v>0</v>
      </c>
      <c r="G74" s="31">
        <f>ASIN(SIN($E$19)*COS(G71-$E$18))</f>
        <v>0</v>
      </c>
      <c r="H74" s="31">
        <f>ASIN(SIN($E$19)*COS(H71-$E$18))</f>
        <v>0</v>
      </c>
      <c r="K74" s="30"/>
      <c r="L74"/>
    </row>
    <row r="75" spans="1:18" s="14" customFormat="1" ht="12.75" hidden="1" x14ac:dyDescent="0.2">
      <c r="A75" s="262"/>
      <c r="B75" s="29"/>
      <c r="D75" s="14" t="s">
        <v>64</v>
      </c>
      <c r="F75" s="33">
        <f>F74*180/PI()</f>
        <v>0</v>
      </c>
      <c r="G75" s="33">
        <f t="shared" ref="G75:H75" si="2">G74*180/PI()</f>
        <v>0</v>
      </c>
      <c r="H75" s="33">
        <f t="shared" si="2"/>
        <v>0</v>
      </c>
      <c r="K75" s="30"/>
      <c r="L75"/>
    </row>
    <row r="76" spans="1:18" s="51" customFormat="1" ht="60" customHeight="1" x14ac:dyDescent="0.2">
      <c r="A76" s="265"/>
      <c r="B76" s="601" t="str">
        <f>_xlfn._LONGTEXT("Zu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f>
        <v>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v>
      </c>
      <c r="C76" s="601"/>
      <c r="D76" s="601"/>
      <c r="E76" s="601"/>
      <c r="F76" s="601"/>
      <c r="G76" s="601"/>
      <c r="H76" s="601"/>
      <c r="I76" s="601"/>
      <c r="J76" s="140"/>
      <c r="K76" s="140"/>
    </row>
    <row r="77" spans="1:18" s="16" customFormat="1" ht="19.899999999999999" customHeight="1" x14ac:dyDescent="0.25">
      <c r="A77" s="260"/>
      <c r="B77" s="428"/>
      <c r="C77" s="514"/>
      <c r="D77" s="559"/>
      <c r="E77" s="560"/>
      <c r="F77" s="717" t="s">
        <v>74</v>
      </c>
      <c r="G77" s="717"/>
      <c r="H77" s="717"/>
      <c r="I77"/>
      <c r="J77"/>
      <c r="K77"/>
    </row>
    <row r="78" spans="1:18" s="16" customFormat="1" ht="19.899999999999999" customHeight="1" x14ac:dyDescent="0.25">
      <c r="A78" s="260"/>
      <c r="B78" s="428" t="s">
        <v>78</v>
      </c>
      <c r="C78" s="514" t="s">
        <v>20</v>
      </c>
      <c r="D78" s="559"/>
      <c r="E78" s="562" t="s">
        <v>94</v>
      </c>
      <c r="F78" s="561" t="s">
        <v>75</v>
      </c>
      <c r="G78" s="561" t="s">
        <v>76</v>
      </c>
      <c r="H78" s="561" t="s">
        <v>77</v>
      </c>
      <c r="I78"/>
      <c r="J78"/>
      <c r="K78"/>
    </row>
    <row r="79" spans="1:18" s="16" customFormat="1" ht="19.899999999999999" customHeight="1" x14ac:dyDescent="0.25">
      <c r="A79" s="260"/>
      <c r="B79" s="563" t="s">
        <v>79</v>
      </c>
      <c r="C79" s="564"/>
      <c r="D79" s="565"/>
      <c r="E79" s="566" t="s">
        <v>73</v>
      </c>
      <c r="F79" s="566" t="s">
        <v>73</v>
      </c>
      <c r="G79" s="566" t="s">
        <v>73</v>
      </c>
      <c r="H79" s="566" t="s">
        <v>73</v>
      </c>
      <c r="I79" s="295"/>
      <c r="J79" s="295"/>
      <c r="K79" s="295"/>
    </row>
    <row r="80" spans="1:18" s="16" customFormat="1" ht="19.899999999999999" customHeight="1" x14ac:dyDescent="0.25">
      <c r="A80" s="260"/>
      <c r="B80" s="503">
        <v>1</v>
      </c>
      <c r="C80" s="567"/>
      <c r="D80" s="568"/>
      <c r="E80" s="569"/>
      <c r="F80" s="570" t="str">
        <f>IF(ISNUMBER($E80),$E80*IF($F$73&gt;0,MIN($F$72:$F$73),MAX($F$72:$F$73)),"")</f>
        <v/>
      </c>
      <c r="G80" s="570" t="str">
        <f>IF(ISNUMBER($E80),$E80*IF($G$73&gt;0,MIN($G$72:$G$73),MAX($G$72:$G$73)),"")</f>
        <v/>
      </c>
      <c r="H80" s="570" t="str">
        <f>IF(ISNUMBER($E80),$E80*IF($H$73&gt;0,MIN($H$72:$H$73),MAX($H$72:$H$73)),"")</f>
        <v/>
      </c>
      <c r="I80" s="303"/>
      <c r="J80" s="303"/>
      <c r="K80" s="303"/>
    </row>
    <row r="81" spans="1:11" s="16" customFormat="1" ht="19.899999999999999" customHeight="1" x14ac:dyDescent="0.25">
      <c r="A81" s="260"/>
      <c r="B81" s="505">
        <v>2</v>
      </c>
      <c r="C81" s="571"/>
      <c r="D81" s="572"/>
      <c r="E81" s="573"/>
      <c r="F81" s="574" t="str">
        <f>IF(ISNUMBER($E81),$E81*IF($F$73&gt;0,MIN($F$72:$F$73),MAX($F$72:$F$73)),"")</f>
        <v/>
      </c>
      <c r="G81" s="574" t="str">
        <f>IF(ISNUMBER($E81),$E81*IF($G$73&gt;0,MIN($G$72:$G$73),MAX($G$72:$G$73)),"")</f>
        <v/>
      </c>
      <c r="H81" s="574" t="str">
        <f>IF(ISNUMBER($E81),$E81*IF($H$73&gt;0,MIN($H$72:$H$73),MAX($H$72:$H$73)),"")</f>
        <v/>
      </c>
      <c r="I81" s="297"/>
      <c r="J81" s="297"/>
      <c r="K81" s="297"/>
    </row>
    <row r="82" spans="1:11" s="16" customFormat="1" ht="19.899999999999999" customHeight="1" x14ac:dyDescent="0.25">
      <c r="A82" s="260"/>
      <c r="B82" s="505">
        <v>3</v>
      </c>
      <c r="C82" s="571"/>
      <c r="D82" s="572"/>
      <c r="E82" s="573"/>
      <c r="F82" s="574" t="str">
        <f>IF(ISNUMBER($E82),$E82*IF($F$73&gt;0,MIN($F$72:$F$73),MAX($F$72:$F$73)),"")</f>
        <v/>
      </c>
      <c r="G82" s="574" t="str">
        <f>IF(ISNUMBER($E82),$E82*IF($G$73&gt;0,MIN($G$72:$G$73),MAX($G$72:$G$73)),"")</f>
        <v/>
      </c>
      <c r="H82" s="574" t="str">
        <f>IF(ISNUMBER($E82),$E82*IF($H$73&gt;0,MIN($H$72:$H$73),MAX($H$72:$H$73)),"")</f>
        <v/>
      </c>
      <c r="I82" s="297"/>
      <c r="J82" s="297"/>
      <c r="K82" s="297"/>
    </row>
    <row r="83" spans="1:11" s="16" customFormat="1" ht="19.899999999999999" customHeight="1" x14ac:dyDescent="0.25">
      <c r="A83" s="260"/>
      <c r="B83" s="505">
        <v>4</v>
      </c>
      <c r="C83" s="571"/>
      <c r="D83" s="572"/>
      <c r="E83" s="573"/>
      <c r="F83" s="574" t="str">
        <f>IF(ISNUMBER($E83),$E83*IF($F$73&gt;0,MIN($F$72:$F$73),MAX($F$72:$F$73)),"")</f>
        <v/>
      </c>
      <c r="G83" s="574" t="str">
        <f>IF(ISNUMBER($E83),$E83*IF($G$73&gt;0,MIN($G$72:$G$73),MAX($G$72:$G$73)),"")</f>
        <v/>
      </c>
      <c r="H83" s="574" t="str">
        <f>IF(ISNUMBER($E83),$E83*IF($H$73&gt;0,MIN($H$72:$H$73),MAX($H$72:$H$73)),"")</f>
        <v/>
      </c>
      <c r="I83" s="297"/>
      <c r="J83" s="297"/>
      <c r="K83" s="297"/>
    </row>
    <row r="84" spans="1:11" s="16" customFormat="1" ht="19.899999999999999" customHeight="1" x14ac:dyDescent="0.25">
      <c r="A84" s="260"/>
      <c r="B84" s="505">
        <v>5</v>
      </c>
      <c r="C84" s="571"/>
      <c r="D84" s="572"/>
      <c r="E84" s="573"/>
      <c r="F84" s="574" t="str">
        <f>IF(ISNUMBER($E84),$E84*IF($F$73&gt;0,MIN($F$72:$F$73),MAX($F$72:$F$73)),"")</f>
        <v/>
      </c>
      <c r="G84" s="574" t="str">
        <f>IF(ISNUMBER($E84),$E84*IF($G$73&gt;0,MIN($G$72:$G$73),MAX($G$72:$G$73)),"")</f>
        <v/>
      </c>
      <c r="H84" s="574" t="str">
        <f>IF(ISNUMBER($E84),$E84*IF($H$73&gt;0,MIN($H$72:$H$73),MAX($H$72:$H$73)),"")</f>
        <v/>
      </c>
      <c r="I84" s="297"/>
      <c r="J84" s="297"/>
      <c r="K84" s="297"/>
    </row>
    <row r="85" spans="1:11" ht="12.75" x14ac:dyDescent="0.2"/>
    <row r="86" spans="1:11" ht="12.75" x14ac:dyDescent="0.2"/>
    <row r="87" spans="1:11" ht="12.75" x14ac:dyDescent="0.2"/>
    <row r="88" spans="1:11" ht="15" customHeight="1" x14ac:dyDescent="0.2"/>
    <row r="89" spans="1:11" ht="15" customHeight="1" x14ac:dyDescent="0.2"/>
    <row r="90" spans="1:11" ht="15" customHeight="1" x14ac:dyDescent="0.2"/>
    <row r="91" spans="1:11" ht="15" hidden="1" customHeight="1" x14ac:dyDescent="0.2"/>
    <row r="92" spans="1:11" ht="15" hidden="1" customHeight="1" x14ac:dyDescent="0.2"/>
    <row r="93" spans="1:11" ht="15" hidden="1" customHeight="1" x14ac:dyDescent="0.2"/>
    <row r="94" spans="1:11" ht="14.1" hidden="1" customHeight="1" x14ac:dyDescent="0.2"/>
    <row r="95" spans="1:11" ht="14.1" hidden="1" customHeight="1" x14ac:dyDescent="0.2"/>
    <row r="96" spans="1:11" ht="14.1" hidden="1" customHeight="1" x14ac:dyDescent="0.2"/>
    <row r="97" ht="14.1" hidden="1" customHeight="1" x14ac:dyDescent="0.2"/>
    <row r="98" ht="14.1" hidden="1" customHeight="1" x14ac:dyDescent="0.2"/>
    <row r="99" ht="14.1" hidden="1" customHeight="1" x14ac:dyDescent="0.2"/>
    <row r="100" ht="14.1" hidden="1" customHeight="1" x14ac:dyDescent="0.2"/>
    <row r="101" ht="14.1" hidden="1" customHeight="1" x14ac:dyDescent="0.2"/>
    <row r="102" ht="14.1" hidden="1" customHeight="1" x14ac:dyDescent="0.2"/>
    <row r="103" ht="14.1" hidden="1" customHeight="1" x14ac:dyDescent="0.2"/>
    <row r="104" ht="14.1" hidden="1" customHeight="1" x14ac:dyDescent="0.2"/>
    <row r="105" ht="14.1" hidden="1" customHeight="1" x14ac:dyDescent="0.2"/>
    <row r="106" ht="14.1" hidden="1" customHeight="1" x14ac:dyDescent="0.2"/>
    <row r="107" ht="14.1" hidden="1" customHeight="1" x14ac:dyDescent="0.2"/>
    <row r="108" ht="14.1" hidden="1" customHeight="1" x14ac:dyDescent="0.2"/>
    <row r="109" ht="14.1" hidden="1" customHeight="1" x14ac:dyDescent="0.2"/>
    <row r="110" ht="14.1" hidden="1" customHeight="1" x14ac:dyDescent="0.2"/>
    <row r="111" ht="14.1" hidden="1" customHeight="1" x14ac:dyDescent="0.2"/>
    <row r="112" ht="14.1" hidden="1" customHeight="1" x14ac:dyDescent="0.2"/>
    <row r="113" ht="14.1" hidden="1" customHeight="1" x14ac:dyDescent="0.2"/>
    <row r="114" ht="14.1" hidden="1" customHeight="1" x14ac:dyDescent="0.2"/>
    <row r="115" ht="14.1" hidden="1" customHeight="1" x14ac:dyDescent="0.2"/>
    <row r="116" ht="14.1" hidden="1" customHeight="1" x14ac:dyDescent="0.2"/>
    <row r="117" ht="14.1" hidden="1" customHeight="1" x14ac:dyDescent="0.2"/>
    <row r="118" ht="14.1" hidden="1" customHeight="1" x14ac:dyDescent="0.2"/>
    <row r="119" ht="14.1" hidden="1" customHeight="1" x14ac:dyDescent="0.2"/>
    <row r="120" ht="14.1" hidden="1" customHeight="1" x14ac:dyDescent="0.2"/>
    <row r="121" ht="14.1" hidden="1" customHeight="1" x14ac:dyDescent="0.2"/>
    <row r="122" ht="14.1" hidden="1" customHeight="1" x14ac:dyDescent="0.2"/>
    <row r="123" ht="14.1" hidden="1" customHeight="1" x14ac:dyDescent="0.2"/>
    <row r="124" ht="14.1" hidden="1" customHeight="1" x14ac:dyDescent="0.2"/>
    <row r="125" ht="14.1" hidden="1" customHeight="1" x14ac:dyDescent="0.2"/>
    <row r="126" ht="14.1" hidden="1" customHeight="1" x14ac:dyDescent="0.2"/>
    <row r="127" ht="14.1" hidden="1" customHeight="1" x14ac:dyDescent="0.2"/>
    <row r="128" ht="14.1" hidden="1" customHeight="1" x14ac:dyDescent="0.2"/>
    <row r="129" ht="14.1" hidden="1" customHeight="1" x14ac:dyDescent="0.2"/>
    <row r="130" ht="14.1" hidden="1" customHeight="1" x14ac:dyDescent="0.2"/>
    <row r="131" ht="14.1" hidden="1" customHeight="1" x14ac:dyDescent="0.2"/>
    <row r="132" ht="14.1" hidden="1" customHeight="1" x14ac:dyDescent="0.2"/>
    <row r="133" ht="14.1" hidden="1" customHeight="1" x14ac:dyDescent="0.2"/>
    <row r="134" ht="14.1" hidden="1" customHeight="1" x14ac:dyDescent="0.2"/>
    <row r="135" ht="14.1" hidden="1" customHeight="1" x14ac:dyDescent="0.2"/>
    <row r="136" ht="14.1" hidden="1" customHeight="1" x14ac:dyDescent="0.2"/>
    <row r="137" ht="14.1" hidden="1" customHeight="1" x14ac:dyDescent="0.2"/>
    <row r="138" ht="14.1" hidden="1" customHeight="1" x14ac:dyDescent="0.2"/>
    <row r="139" ht="14.1" hidden="1" customHeight="1" x14ac:dyDescent="0.2"/>
    <row r="140" ht="14.1" hidden="1" customHeight="1" x14ac:dyDescent="0.2"/>
    <row r="141" ht="14.1" hidden="1" customHeight="1" x14ac:dyDescent="0.2"/>
    <row r="142" ht="14.1" hidden="1" customHeight="1" x14ac:dyDescent="0.2"/>
    <row r="143" ht="14.1" hidden="1" customHeight="1" x14ac:dyDescent="0.2"/>
    <row r="144" ht="14.1" hidden="1" customHeight="1" x14ac:dyDescent="0.2"/>
    <row r="145" ht="14.1" hidden="1" customHeight="1" x14ac:dyDescent="0.2"/>
    <row r="146" ht="14.1" hidden="1" customHeight="1" x14ac:dyDescent="0.2"/>
    <row r="147" ht="14.1" hidden="1" customHeight="1" x14ac:dyDescent="0.2"/>
    <row r="148" ht="14.1" hidden="1" customHeight="1" x14ac:dyDescent="0.2"/>
    <row r="149" ht="14.1" hidden="1" customHeight="1" x14ac:dyDescent="0.2"/>
    <row r="150" ht="14.1" hidden="1" customHeight="1" x14ac:dyDescent="0.2"/>
    <row r="151" ht="14.1" hidden="1" customHeight="1" x14ac:dyDescent="0.2"/>
    <row r="152" ht="14.1" hidden="1" customHeight="1" x14ac:dyDescent="0.2"/>
    <row r="153" ht="14.1" hidden="1" customHeight="1" x14ac:dyDescent="0.2"/>
    <row r="154" ht="14.1" hidden="1" customHeight="1" x14ac:dyDescent="0.2"/>
    <row r="155" ht="14.1" hidden="1" customHeight="1" x14ac:dyDescent="0.2"/>
    <row r="156" ht="14.1" hidden="1" customHeight="1" x14ac:dyDescent="0.2"/>
    <row r="157" ht="14.1" hidden="1" customHeight="1" x14ac:dyDescent="0.2"/>
    <row r="158" ht="14.1" hidden="1" customHeight="1" x14ac:dyDescent="0.2"/>
    <row r="159" ht="14.1" hidden="1" customHeight="1" x14ac:dyDescent="0.2"/>
    <row r="160" ht="14.1" hidden="1" customHeight="1" x14ac:dyDescent="0.2"/>
    <row r="161" ht="14.1" hidden="1" customHeight="1" x14ac:dyDescent="0.2"/>
    <row r="162" ht="14.1" hidden="1" customHeight="1" x14ac:dyDescent="0.2"/>
    <row r="163" ht="14.1" hidden="1" customHeight="1" x14ac:dyDescent="0.2"/>
    <row r="164" ht="14.1" hidden="1" customHeight="1" x14ac:dyDescent="0.2"/>
    <row r="165" ht="14.1" hidden="1" customHeight="1" x14ac:dyDescent="0.2"/>
    <row r="166" ht="14.1" hidden="1" customHeight="1" x14ac:dyDescent="0.2"/>
    <row r="167" ht="14.1" hidden="1" customHeight="1" x14ac:dyDescent="0.2"/>
    <row r="168" ht="14.1" hidden="1" customHeight="1" x14ac:dyDescent="0.2"/>
    <row r="169" ht="14.1" hidden="1" customHeight="1" x14ac:dyDescent="0.2"/>
    <row r="170" ht="14.1" hidden="1" customHeight="1" x14ac:dyDescent="0.2"/>
    <row r="171" ht="14.1" hidden="1" customHeight="1" x14ac:dyDescent="0.2"/>
    <row r="172" ht="14.1" hidden="1" customHeight="1" x14ac:dyDescent="0.2"/>
    <row r="173" ht="14.1" hidden="1" customHeight="1" x14ac:dyDescent="0.2"/>
    <row r="174" ht="14.1" hidden="1" customHeight="1" x14ac:dyDescent="0.2"/>
    <row r="175" ht="14.1" hidden="1" customHeight="1" x14ac:dyDescent="0.2"/>
    <row r="176" ht="14.1" hidden="1" customHeight="1" x14ac:dyDescent="0.2"/>
    <row r="177" ht="14.1" hidden="1" customHeight="1" x14ac:dyDescent="0.2"/>
    <row r="178" ht="14.1" hidden="1" customHeight="1" x14ac:dyDescent="0.2"/>
    <row r="179" ht="14.1" hidden="1" customHeight="1" x14ac:dyDescent="0.2"/>
    <row r="180" ht="14.1" hidden="1" customHeight="1" x14ac:dyDescent="0.2"/>
    <row r="181" ht="14.1" hidden="1" customHeight="1" x14ac:dyDescent="0.2"/>
    <row r="182" ht="14.1" hidden="1" customHeight="1" x14ac:dyDescent="0.2"/>
    <row r="183" ht="14.1" hidden="1" customHeight="1" x14ac:dyDescent="0.2"/>
    <row r="184" ht="14.1" hidden="1" customHeight="1" x14ac:dyDescent="0.2"/>
    <row r="185" ht="14.1" hidden="1" customHeight="1" x14ac:dyDescent="0.2"/>
    <row r="186" ht="14.1" hidden="1" customHeight="1" x14ac:dyDescent="0.2"/>
    <row r="187" ht="14.1" hidden="1" customHeight="1" x14ac:dyDescent="0.2"/>
    <row r="188" ht="14.1" hidden="1" customHeight="1" x14ac:dyDescent="0.2"/>
    <row r="189" ht="14.1" hidden="1" customHeight="1" x14ac:dyDescent="0.2"/>
    <row r="190" ht="14.1" hidden="1" customHeight="1" x14ac:dyDescent="0.2"/>
    <row r="191" ht="14.1" hidden="1" customHeight="1" x14ac:dyDescent="0.2"/>
    <row r="192" ht="14.1" hidden="1" customHeight="1" x14ac:dyDescent="0.2"/>
    <row r="193" ht="14.1" hidden="1" customHeight="1" x14ac:dyDescent="0.2"/>
    <row r="194" ht="14.1" hidden="1" customHeight="1" x14ac:dyDescent="0.2"/>
    <row r="195" ht="14.1" hidden="1" customHeight="1" x14ac:dyDescent="0.2"/>
    <row r="196" ht="14.1" hidden="1" customHeight="1" x14ac:dyDescent="0.2"/>
    <row r="197" ht="14.1" hidden="1" customHeight="1" x14ac:dyDescent="0.2"/>
    <row r="198" ht="14.1" hidden="1" customHeight="1" x14ac:dyDescent="0.2"/>
    <row r="199" ht="14.1" hidden="1" customHeight="1" x14ac:dyDescent="0.2"/>
    <row r="200" ht="14.1" hidden="1" customHeight="1" x14ac:dyDescent="0.2"/>
    <row r="201" ht="14.1" hidden="1" customHeight="1" x14ac:dyDescent="0.2"/>
    <row r="202" ht="14.1" hidden="1" customHeight="1" x14ac:dyDescent="0.2"/>
    <row r="203" ht="14.1" hidden="1" customHeight="1" x14ac:dyDescent="0.2"/>
    <row r="204" ht="14.1" hidden="1" customHeight="1" x14ac:dyDescent="0.2"/>
    <row r="205" ht="14.1" hidden="1" customHeight="1" x14ac:dyDescent="0.2"/>
    <row r="206" ht="14.1" hidden="1" customHeight="1" x14ac:dyDescent="0.2"/>
    <row r="207" ht="14.1" hidden="1" customHeight="1" x14ac:dyDescent="0.2"/>
    <row r="208" ht="14.1" hidden="1" customHeight="1" x14ac:dyDescent="0.2"/>
    <row r="209" ht="14.1" hidden="1" customHeight="1" x14ac:dyDescent="0.2"/>
    <row r="210" ht="14.1" hidden="1" customHeight="1" x14ac:dyDescent="0.2"/>
    <row r="211" ht="14.1" hidden="1" customHeight="1" x14ac:dyDescent="0.2"/>
    <row r="212" ht="14.1" hidden="1" customHeight="1" x14ac:dyDescent="0.2"/>
    <row r="213" ht="14.1" hidden="1" customHeight="1" x14ac:dyDescent="0.2"/>
    <row r="214" ht="14.1" hidden="1" customHeight="1" x14ac:dyDescent="0.2"/>
    <row r="215" ht="14.1" hidden="1" customHeight="1" x14ac:dyDescent="0.2"/>
    <row r="216" ht="14.1" hidden="1" customHeight="1" x14ac:dyDescent="0.2"/>
    <row r="217" ht="14.1" hidden="1" customHeight="1" x14ac:dyDescent="0.2"/>
    <row r="218" ht="14.1" hidden="1" customHeight="1" x14ac:dyDescent="0.2"/>
    <row r="219" ht="14.1" hidden="1" customHeight="1" x14ac:dyDescent="0.2"/>
    <row r="220" ht="14.1" hidden="1" customHeight="1" x14ac:dyDescent="0.2"/>
    <row r="221" ht="14.1" hidden="1" customHeight="1" x14ac:dyDescent="0.2"/>
    <row r="222" ht="14.1" hidden="1" customHeight="1" x14ac:dyDescent="0.2"/>
    <row r="223" ht="14.1" hidden="1" customHeight="1" x14ac:dyDescent="0.2"/>
    <row r="224" ht="14.1" hidden="1" customHeight="1" x14ac:dyDescent="0.2"/>
    <row r="225" ht="14.1" hidden="1" customHeight="1" x14ac:dyDescent="0.2"/>
    <row r="226" ht="14.1" hidden="1" customHeight="1" x14ac:dyDescent="0.2"/>
    <row r="227" ht="14.1" hidden="1" customHeight="1" x14ac:dyDescent="0.2"/>
    <row r="228" ht="14.1" hidden="1" customHeight="1" x14ac:dyDescent="0.2"/>
    <row r="229" ht="14.1" hidden="1" customHeight="1" x14ac:dyDescent="0.2"/>
    <row r="230" ht="14.1" hidden="1" customHeight="1" x14ac:dyDescent="0.2"/>
    <row r="231" ht="14.1" hidden="1" customHeight="1" x14ac:dyDescent="0.2"/>
    <row r="232" ht="14.1" hidden="1" customHeight="1" x14ac:dyDescent="0.2"/>
    <row r="233" ht="14.1" hidden="1" customHeight="1" x14ac:dyDescent="0.2"/>
    <row r="234" ht="14.1" hidden="1" customHeight="1" x14ac:dyDescent="0.2"/>
    <row r="235" ht="14.1" hidden="1" customHeight="1" x14ac:dyDescent="0.2"/>
    <row r="236" ht="14.1" hidden="1" customHeight="1" x14ac:dyDescent="0.2"/>
    <row r="237" ht="14.1" hidden="1" customHeight="1" x14ac:dyDescent="0.2"/>
    <row r="238" ht="14.1" hidden="1" customHeight="1" x14ac:dyDescent="0.2"/>
    <row r="239" ht="14.1" hidden="1" customHeight="1" x14ac:dyDescent="0.2"/>
    <row r="240" ht="14.1" hidden="1" customHeight="1" x14ac:dyDescent="0.2"/>
    <row r="241" ht="14.1" hidden="1" customHeight="1" x14ac:dyDescent="0.2"/>
    <row r="242" ht="14.1" hidden="1" customHeight="1" x14ac:dyDescent="0.2"/>
    <row r="243" ht="14.1" hidden="1" customHeight="1" x14ac:dyDescent="0.2"/>
    <row r="244" ht="14.1" hidden="1" customHeight="1" x14ac:dyDescent="0.2"/>
    <row r="245" ht="14.1" hidden="1" customHeight="1" x14ac:dyDescent="0.2"/>
    <row r="246" ht="14.1" hidden="1" customHeight="1" x14ac:dyDescent="0.2"/>
    <row r="247" ht="14.1" hidden="1" customHeight="1" x14ac:dyDescent="0.2"/>
    <row r="248" ht="14.1" hidden="1" customHeight="1" x14ac:dyDescent="0.2"/>
    <row r="249" ht="14.1" hidden="1" customHeight="1" x14ac:dyDescent="0.2"/>
    <row r="250" ht="14.1" hidden="1" customHeight="1" x14ac:dyDescent="0.2"/>
    <row r="251" ht="14.1" hidden="1" customHeight="1" x14ac:dyDescent="0.2"/>
    <row r="252" ht="14.1" hidden="1" customHeight="1" x14ac:dyDescent="0.2"/>
    <row r="253" ht="14.1" hidden="1" customHeight="1" x14ac:dyDescent="0.2"/>
    <row r="254" ht="14.1" hidden="1" customHeight="1" x14ac:dyDescent="0.2"/>
    <row r="255" ht="14.1" hidden="1" customHeight="1" x14ac:dyDescent="0.2"/>
    <row r="256" ht="14.1" hidden="1" customHeight="1" x14ac:dyDescent="0.2"/>
    <row r="257" ht="14.1" hidden="1" customHeight="1" x14ac:dyDescent="0.2"/>
    <row r="258" ht="14.1" hidden="1" customHeight="1" x14ac:dyDescent="0.2"/>
    <row r="259" ht="14.1" hidden="1" customHeight="1" x14ac:dyDescent="0.2"/>
    <row r="260" ht="14.1" hidden="1" customHeight="1" x14ac:dyDescent="0.2"/>
    <row r="261" ht="14.1" hidden="1" customHeight="1" x14ac:dyDescent="0.2"/>
    <row r="262" ht="14.1" hidden="1" customHeight="1" x14ac:dyDescent="0.2"/>
    <row r="263" ht="14.1" hidden="1" customHeight="1" x14ac:dyDescent="0.2"/>
    <row r="264" ht="14.1" hidden="1" customHeight="1" x14ac:dyDescent="0.2"/>
    <row r="265" ht="14.1" hidden="1" customHeight="1" x14ac:dyDescent="0.2"/>
    <row r="266" ht="14.1" hidden="1" customHeight="1" x14ac:dyDescent="0.2"/>
    <row r="267" ht="14.1" hidden="1" customHeight="1" x14ac:dyDescent="0.2"/>
    <row r="268" ht="14.1" hidden="1" customHeight="1" x14ac:dyDescent="0.2"/>
    <row r="269" ht="14.1" hidden="1" customHeight="1" x14ac:dyDescent="0.2"/>
    <row r="270" ht="14.1" hidden="1" customHeight="1" x14ac:dyDescent="0.2"/>
    <row r="271" ht="14.1" hidden="1" customHeight="1" x14ac:dyDescent="0.2"/>
    <row r="272" ht="14.1" hidden="1" customHeight="1" x14ac:dyDescent="0.2"/>
    <row r="273" ht="14.1" hidden="1" customHeight="1" x14ac:dyDescent="0.2"/>
    <row r="274" ht="14.1" hidden="1" customHeight="1" x14ac:dyDescent="0.2"/>
    <row r="275" ht="14.1" hidden="1" customHeight="1" x14ac:dyDescent="0.2"/>
    <row r="276" ht="14.1" hidden="1" customHeight="1" x14ac:dyDescent="0.2"/>
    <row r="277" ht="14.1" hidden="1" customHeight="1" x14ac:dyDescent="0.2"/>
    <row r="278" ht="14.1" hidden="1" customHeight="1" x14ac:dyDescent="0.2"/>
    <row r="279" ht="14.1" hidden="1" customHeight="1" x14ac:dyDescent="0.2"/>
    <row r="280" ht="14.1" hidden="1" customHeight="1" x14ac:dyDescent="0.2"/>
    <row r="281" ht="14.1" hidden="1" customHeight="1" x14ac:dyDescent="0.2"/>
    <row r="282" ht="14.1" hidden="1" customHeight="1" x14ac:dyDescent="0.2"/>
    <row r="283" ht="14.1" hidden="1" customHeight="1" x14ac:dyDescent="0.2"/>
    <row r="284" ht="14.1" hidden="1" customHeight="1" x14ac:dyDescent="0.2"/>
    <row r="285" ht="14.1" hidden="1" customHeight="1" x14ac:dyDescent="0.2"/>
    <row r="286" ht="14.1" hidden="1" customHeight="1" x14ac:dyDescent="0.2"/>
    <row r="287" ht="14.1" hidden="1" customHeight="1" x14ac:dyDescent="0.2"/>
    <row r="288" ht="14.1" hidden="1" customHeight="1" x14ac:dyDescent="0.2"/>
    <row r="289" ht="14.1" hidden="1" customHeight="1" x14ac:dyDescent="0.2"/>
    <row r="290" ht="14.1" hidden="1" customHeight="1" x14ac:dyDescent="0.2"/>
    <row r="291" ht="14.1" hidden="1" customHeight="1" x14ac:dyDescent="0.2"/>
    <row r="292" ht="14.1" hidden="1" customHeight="1" x14ac:dyDescent="0.2"/>
    <row r="293" ht="14.1" hidden="1" customHeight="1" x14ac:dyDescent="0.2"/>
    <row r="294" ht="14.1" hidden="1" customHeight="1" x14ac:dyDescent="0.2"/>
    <row r="295" ht="14.1" hidden="1" customHeight="1" x14ac:dyDescent="0.2"/>
    <row r="296" ht="14.1" hidden="1" customHeight="1" x14ac:dyDescent="0.2"/>
    <row r="297" ht="14.1" hidden="1" customHeight="1" x14ac:dyDescent="0.2"/>
    <row r="298" ht="14.1" hidden="1" customHeight="1" x14ac:dyDescent="0.2"/>
    <row r="299" ht="14.1" hidden="1" customHeight="1" x14ac:dyDescent="0.2"/>
    <row r="300" ht="14.1" hidden="1" customHeight="1" x14ac:dyDescent="0.2"/>
    <row r="301" ht="14.1" hidden="1" customHeight="1" x14ac:dyDescent="0.2"/>
    <row r="302" ht="14.1" hidden="1" customHeight="1" x14ac:dyDescent="0.2"/>
    <row r="303" ht="14.1" hidden="1" customHeight="1" x14ac:dyDescent="0.2"/>
    <row r="304" ht="14.1" hidden="1" customHeight="1" x14ac:dyDescent="0.2"/>
    <row r="305" ht="14.1" hidden="1" customHeight="1" x14ac:dyDescent="0.2"/>
    <row r="306" ht="14.1" hidden="1" customHeight="1" x14ac:dyDescent="0.2"/>
    <row r="307" ht="14.1" hidden="1" customHeight="1" x14ac:dyDescent="0.2"/>
    <row r="308" ht="14.1" hidden="1" customHeight="1" x14ac:dyDescent="0.2"/>
    <row r="309" ht="14.1" hidden="1" customHeight="1" x14ac:dyDescent="0.2"/>
    <row r="310" ht="14.1" hidden="1" customHeight="1" x14ac:dyDescent="0.2"/>
    <row r="311" ht="14.1" hidden="1" customHeight="1" x14ac:dyDescent="0.2"/>
    <row r="312" ht="14.1" hidden="1" customHeight="1" x14ac:dyDescent="0.2"/>
    <row r="313" ht="14.1" hidden="1" customHeight="1" x14ac:dyDescent="0.2"/>
    <row r="314" ht="14.1" hidden="1" customHeight="1" x14ac:dyDescent="0.2"/>
    <row r="315" ht="14.1" hidden="1" customHeight="1" x14ac:dyDescent="0.2"/>
    <row r="316" ht="14.1" hidden="1" customHeight="1" x14ac:dyDescent="0.2"/>
    <row r="317" ht="14.1" hidden="1" customHeight="1" x14ac:dyDescent="0.2"/>
    <row r="318" ht="14.1" hidden="1" customHeight="1" x14ac:dyDescent="0.2"/>
    <row r="319" ht="14.1" hidden="1" customHeight="1" x14ac:dyDescent="0.2"/>
    <row r="320" ht="14.1" hidden="1" customHeight="1" x14ac:dyDescent="0.2"/>
    <row r="321" ht="14.1" hidden="1" customHeight="1" x14ac:dyDescent="0.2"/>
    <row r="322" ht="14.1" hidden="1" customHeight="1" x14ac:dyDescent="0.2"/>
    <row r="323" ht="14.1" hidden="1" customHeight="1" x14ac:dyDescent="0.2"/>
    <row r="324" ht="14.1" hidden="1" customHeight="1" x14ac:dyDescent="0.2"/>
    <row r="325" ht="14.1" hidden="1" customHeight="1" x14ac:dyDescent="0.2"/>
    <row r="326" ht="14.1" hidden="1" customHeight="1" x14ac:dyDescent="0.2"/>
    <row r="327" ht="14.1" hidden="1" customHeight="1" x14ac:dyDescent="0.2"/>
    <row r="328" ht="14.1" hidden="1" customHeight="1" x14ac:dyDescent="0.2"/>
    <row r="329" ht="14.1" hidden="1" customHeight="1" x14ac:dyDescent="0.2"/>
    <row r="330" ht="14.1" hidden="1" customHeight="1" x14ac:dyDescent="0.2"/>
    <row r="331" ht="14.1" hidden="1" customHeight="1" x14ac:dyDescent="0.2"/>
    <row r="332" ht="14.1" hidden="1" customHeight="1" x14ac:dyDescent="0.2"/>
    <row r="333" ht="14.1" hidden="1" customHeight="1" x14ac:dyDescent="0.2"/>
    <row r="334" ht="14.1" hidden="1" customHeight="1" x14ac:dyDescent="0.2"/>
    <row r="335" ht="14.1" hidden="1" customHeight="1" x14ac:dyDescent="0.2"/>
    <row r="336" ht="14.1" hidden="1" customHeight="1" x14ac:dyDescent="0.2"/>
    <row r="337" ht="14.1" hidden="1" customHeight="1" x14ac:dyDescent="0.2"/>
    <row r="338" ht="14.1" hidden="1" customHeight="1" x14ac:dyDescent="0.2"/>
    <row r="339" ht="14.1" hidden="1" customHeight="1" x14ac:dyDescent="0.2"/>
    <row r="340" ht="14.1" hidden="1" customHeight="1" x14ac:dyDescent="0.2"/>
    <row r="341" ht="14.1" hidden="1" customHeight="1" x14ac:dyDescent="0.2"/>
    <row r="342" ht="14.1" hidden="1" customHeight="1" x14ac:dyDescent="0.2"/>
    <row r="343" ht="14.1" hidden="1" customHeight="1" x14ac:dyDescent="0.2"/>
    <row r="344" ht="14.1" hidden="1" customHeight="1" x14ac:dyDescent="0.2"/>
    <row r="345" ht="14.1" hidden="1" customHeight="1" x14ac:dyDescent="0.2"/>
    <row r="346" ht="14.1" hidden="1" customHeight="1" x14ac:dyDescent="0.2"/>
    <row r="347" ht="14.1" hidden="1" customHeight="1" x14ac:dyDescent="0.2"/>
    <row r="348" ht="14.1" hidden="1" customHeight="1" x14ac:dyDescent="0.2"/>
    <row r="349" ht="14.1" hidden="1" customHeight="1" x14ac:dyDescent="0.2"/>
    <row r="350" ht="14.1" hidden="1" customHeight="1" x14ac:dyDescent="0.2"/>
    <row r="351" ht="14.1" hidden="1" customHeight="1" x14ac:dyDescent="0.2"/>
    <row r="352" ht="14.1" hidden="1" customHeight="1" x14ac:dyDescent="0.2"/>
    <row r="353" ht="14.1" hidden="1" customHeight="1" x14ac:dyDescent="0.2"/>
    <row r="354" ht="14.1" hidden="1" customHeight="1" x14ac:dyDescent="0.2"/>
    <row r="355" ht="14.1" hidden="1" customHeight="1" x14ac:dyDescent="0.2"/>
    <row r="356" ht="14.1" hidden="1" customHeight="1" x14ac:dyDescent="0.2"/>
    <row r="357" ht="14.1" hidden="1" customHeight="1" x14ac:dyDescent="0.2"/>
    <row r="358" ht="14.1" hidden="1" customHeight="1" x14ac:dyDescent="0.2"/>
    <row r="359" ht="14.1" hidden="1" customHeight="1" x14ac:dyDescent="0.2"/>
    <row r="360" ht="14.1" hidden="1" customHeight="1" x14ac:dyDescent="0.2"/>
    <row r="361" ht="14.1" hidden="1" customHeight="1" x14ac:dyDescent="0.2"/>
    <row r="362" ht="14.1" hidden="1" customHeight="1" x14ac:dyDescent="0.2"/>
    <row r="363" ht="14.1" hidden="1" customHeight="1" x14ac:dyDescent="0.2"/>
    <row r="364" ht="14.1" hidden="1" customHeight="1" x14ac:dyDescent="0.2"/>
    <row r="365" ht="14.1" hidden="1" customHeight="1" x14ac:dyDescent="0.2"/>
    <row r="366" ht="14.1" hidden="1" customHeight="1" x14ac:dyDescent="0.2"/>
    <row r="367" ht="14.1" hidden="1" customHeight="1" x14ac:dyDescent="0.2"/>
    <row r="368" ht="14.1" hidden="1" customHeight="1" x14ac:dyDescent="0.2"/>
    <row r="369" ht="14.1" hidden="1" customHeight="1" x14ac:dyDescent="0.2"/>
    <row r="370" ht="14.1" hidden="1" customHeight="1" x14ac:dyDescent="0.2"/>
    <row r="371" ht="14.1" hidden="1" customHeight="1" x14ac:dyDescent="0.2"/>
    <row r="372" ht="14.1" hidden="1" customHeight="1" x14ac:dyDescent="0.2"/>
    <row r="373" ht="14.1" hidden="1" customHeight="1" x14ac:dyDescent="0.2"/>
    <row r="374" ht="14.1" hidden="1" customHeight="1" x14ac:dyDescent="0.2"/>
    <row r="375" ht="14.1" hidden="1" customHeight="1" x14ac:dyDescent="0.2"/>
    <row r="376" ht="14.1" hidden="1" customHeight="1" x14ac:dyDescent="0.2"/>
    <row r="377" ht="14.1" hidden="1" customHeight="1" x14ac:dyDescent="0.2"/>
    <row r="378" ht="14.1" hidden="1" customHeight="1" x14ac:dyDescent="0.2"/>
    <row r="379" ht="14.1" hidden="1" customHeight="1" x14ac:dyDescent="0.2"/>
    <row r="380" ht="14.1" hidden="1" customHeight="1" x14ac:dyDescent="0.2"/>
    <row r="381" ht="14.1" hidden="1" customHeight="1" x14ac:dyDescent="0.2"/>
    <row r="382" ht="14.1" hidden="1" customHeight="1" x14ac:dyDescent="0.2"/>
    <row r="383" ht="14.1" hidden="1" customHeight="1" x14ac:dyDescent="0.2"/>
    <row r="384" ht="14.1" hidden="1" customHeight="1" x14ac:dyDescent="0.2"/>
    <row r="385" ht="14.1" hidden="1" customHeight="1" x14ac:dyDescent="0.2"/>
    <row r="386" ht="14.1" hidden="1" customHeight="1" x14ac:dyDescent="0.2"/>
    <row r="387" ht="14.1" hidden="1" customHeight="1" x14ac:dyDescent="0.2"/>
    <row r="388" ht="14.1" hidden="1" customHeight="1" x14ac:dyDescent="0.2"/>
    <row r="389" ht="14.1" hidden="1" customHeight="1" x14ac:dyDescent="0.2"/>
    <row r="390" ht="14.1" hidden="1" customHeight="1" x14ac:dyDescent="0.2"/>
    <row r="391" ht="14.1" hidden="1" customHeight="1" x14ac:dyDescent="0.2"/>
    <row r="392" ht="14.1" hidden="1" customHeight="1" x14ac:dyDescent="0.2"/>
    <row r="393" ht="14.1" hidden="1" customHeight="1" x14ac:dyDescent="0.2"/>
    <row r="394" ht="14.1" hidden="1" customHeight="1" x14ac:dyDescent="0.2"/>
    <row r="395" ht="14.1" hidden="1" customHeight="1" x14ac:dyDescent="0.2"/>
    <row r="396" ht="14.1" hidden="1" customHeight="1" x14ac:dyDescent="0.2"/>
    <row r="397" ht="14.1" hidden="1" customHeight="1" x14ac:dyDescent="0.2"/>
    <row r="398" ht="14.1" hidden="1" customHeight="1" x14ac:dyDescent="0.2"/>
    <row r="399" ht="14.1" hidden="1" customHeight="1" x14ac:dyDescent="0.2"/>
    <row r="400" ht="14.1" hidden="1" customHeight="1" x14ac:dyDescent="0.2"/>
    <row r="401" ht="14.1" hidden="1" customHeight="1" x14ac:dyDescent="0.2"/>
    <row r="402" ht="14.1" hidden="1" customHeight="1" x14ac:dyDescent="0.2"/>
    <row r="403" ht="14.1" hidden="1" customHeight="1" x14ac:dyDescent="0.2"/>
    <row r="404" ht="14.1" hidden="1" customHeight="1" x14ac:dyDescent="0.2"/>
    <row r="405" ht="14.1" hidden="1" customHeight="1" x14ac:dyDescent="0.2"/>
    <row r="406" ht="14.1" hidden="1" customHeight="1" x14ac:dyDescent="0.2"/>
    <row r="407" ht="14.1" hidden="1" customHeight="1" x14ac:dyDescent="0.2"/>
    <row r="408" ht="14.1" hidden="1" customHeight="1" x14ac:dyDescent="0.2"/>
    <row r="409" ht="14.1" hidden="1" customHeight="1" x14ac:dyDescent="0.2"/>
    <row r="410" ht="14.1" hidden="1" customHeight="1" x14ac:dyDescent="0.2"/>
    <row r="411" ht="14.1" hidden="1" customHeight="1" x14ac:dyDescent="0.2"/>
    <row r="412" ht="14.1" hidden="1" customHeight="1" x14ac:dyDescent="0.2"/>
    <row r="413" ht="14.1" hidden="1" customHeight="1" x14ac:dyDescent="0.2"/>
    <row r="414" ht="14.1" hidden="1" customHeight="1" x14ac:dyDescent="0.2"/>
    <row r="415" ht="14.1" hidden="1" customHeight="1" x14ac:dyDescent="0.2"/>
    <row r="416" ht="14.1" hidden="1" customHeight="1" x14ac:dyDescent="0.2"/>
    <row r="417" ht="14.1" hidden="1" customHeight="1" x14ac:dyDescent="0.2"/>
    <row r="418" ht="14.1" hidden="1" customHeight="1" x14ac:dyDescent="0.2"/>
    <row r="419" ht="14.1" hidden="1" customHeight="1" x14ac:dyDescent="0.2"/>
    <row r="420" ht="14.1" hidden="1" customHeight="1" x14ac:dyDescent="0.2"/>
    <row r="421" ht="14.1" hidden="1" customHeight="1" x14ac:dyDescent="0.2"/>
    <row r="422" ht="14.1" hidden="1" customHeight="1" x14ac:dyDescent="0.2"/>
    <row r="423" ht="14.1" hidden="1" customHeight="1" x14ac:dyDescent="0.2"/>
    <row r="424" ht="14.1" hidden="1" customHeight="1" x14ac:dyDescent="0.2"/>
    <row r="425" ht="14.1" hidden="1" customHeight="1" x14ac:dyDescent="0.2"/>
    <row r="426" ht="14.1" hidden="1" customHeight="1" x14ac:dyDescent="0.2"/>
    <row r="427" ht="14.1" hidden="1" customHeight="1" x14ac:dyDescent="0.2"/>
    <row r="428" ht="14.1" hidden="1" customHeight="1" x14ac:dyDescent="0.2"/>
    <row r="429" ht="14.1" hidden="1" customHeight="1" x14ac:dyDescent="0.2"/>
    <row r="430" ht="14.1" hidden="1" customHeight="1" x14ac:dyDescent="0.2"/>
    <row r="431" ht="14.1" hidden="1" customHeight="1" x14ac:dyDescent="0.2"/>
    <row r="432" ht="14.1" hidden="1" customHeight="1" x14ac:dyDescent="0.2"/>
    <row r="433" ht="14.1" hidden="1" customHeight="1" x14ac:dyDescent="0.2"/>
    <row r="434" ht="14.1" hidden="1" customHeight="1" x14ac:dyDescent="0.2"/>
    <row r="435" ht="14.1" hidden="1" customHeight="1" x14ac:dyDescent="0.2"/>
    <row r="436" ht="14.1" hidden="1" customHeight="1" x14ac:dyDescent="0.2"/>
    <row r="437" ht="14.1" hidden="1" customHeight="1" x14ac:dyDescent="0.2"/>
    <row r="438" ht="14.1" hidden="1" customHeight="1" x14ac:dyDescent="0.2"/>
    <row r="439" ht="14.1" hidden="1" customHeight="1" x14ac:dyDescent="0.2"/>
    <row r="440" ht="14.1" hidden="1" customHeight="1" x14ac:dyDescent="0.2"/>
    <row r="441" ht="14.1" hidden="1" customHeight="1" x14ac:dyDescent="0.2"/>
    <row r="442" ht="14.1" hidden="1" customHeight="1" x14ac:dyDescent="0.2"/>
    <row r="443" ht="14.1" hidden="1" customHeight="1" x14ac:dyDescent="0.2"/>
    <row r="444" ht="14.1" hidden="1" customHeight="1" x14ac:dyDescent="0.2"/>
    <row r="445" ht="14.1" hidden="1" customHeight="1" x14ac:dyDescent="0.2"/>
    <row r="446" ht="14.1" hidden="1" customHeight="1" x14ac:dyDescent="0.2"/>
    <row r="447" ht="14.1" hidden="1" customHeight="1" x14ac:dyDescent="0.2"/>
    <row r="448" ht="14.1" hidden="1" customHeight="1" x14ac:dyDescent="0.2"/>
    <row r="449" ht="14.1" hidden="1" customHeight="1" x14ac:dyDescent="0.2"/>
    <row r="450" ht="14.1" hidden="1" customHeight="1" x14ac:dyDescent="0.2"/>
    <row r="451" ht="14.1" hidden="1" customHeight="1" x14ac:dyDescent="0.2"/>
    <row r="452" ht="14.1" hidden="1" customHeight="1" x14ac:dyDescent="0.2"/>
    <row r="453" ht="14.1" hidden="1" customHeight="1" x14ac:dyDescent="0.2"/>
    <row r="454" ht="14.1" hidden="1" customHeight="1" x14ac:dyDescent="0.2"/>
    <row r="455" ht="14.1" hidden="1" customHeight="1" x14ac:dyDescent="0.2"/>
    <row r="456" ht="14.1" hidden="1" customHeight="1" x14ac:dyDescent="0.2"/>
    <row r="457" ht="14.1" hidden="1" customHeight="1" x14ac:dyDescent="0.2"/>
    <row r="458" ht="14.1" hidden="1" customHeight="1" x14ac:dyDescent="0.2"/>
    <row r="459" ht="14.1" hidden="1" customHeight="1" x14ac:dyDescent="0.2"/>
    <row r="460" ht="14.1" hidden="1" customHeight="1" x14ac:dyDescent="0.2"/>
    <row r="461" ht="14.1" hidden="1" customHeight="1" x14ac:dyDescent="0.2"/>
    <row r="462" ht="14.1" hidden="1" customHeight="1" x14ac:dyDescent="0.2"/>
    <row r="463" ht="14.1" hidden="1" customHeight="1" x14ac:dyDescent="0.2"/>
    <row r="464" ht="14.1" hidden="1" customHeight="1" x14ac:dyDescent="0.2"/>
    <row r="465" ht="14.1" hidden="1" customHeight="1" x14ac:dyDescent="0.2"/>
    <row r="466" ht="14.1" hidden="1" customHeight="1" x14ac:dyDescent="0.2"/>
    <row r="467" ht="14.1" hidden="1" customHeight="1" x14ac:dyDescent="0.2"/>
    <row r="468" ht="14.1" hidden="1" customHeight="1" x14ac:dyDescent="0.2"/>
    <row r="469" ht="14.1" hidden="1" customHeight="1" x14ac:dyDescent="0.2"/>
    <row r="470" ht="14.1" hidden="1" customHeight="1" x14ac:dyDescent="0.2"/>
    <row r="471" ht="14.1" hidden="1" customHeight="1" x14ac:dyDescent="0.2"/>
    <row r="472" ht="14.1" hidden="1" customHeight="1" x14ac:dyDescent="0.2"/>
    <row r="473" ht="14.1" hidden="1" customHeight="1" x14ac:dyDescent="0.2"/>
    <row r="474" ht="14.1" hidden="1" customHeight="1" x14ac:dyDescent="0.2"/>
    <row r="475" ht="14.1" hidden="1" customHeight="1" x14ac:dyDescent="0.2"/>
    <row r="476" ht="14.1" hidden="1" customHeight="1" x14ac:dyDescent="0.2"/>
    <row r="477" ht="14.1" hidden="1" customHeight="1" x14ac:dyDescent="0.2"/>
    <row r="478" ht="14.1" hidden="1" customHeight="1" x14ac:dyDescent="0.2"/>
    <row r="479" ht="14.1" hidden="1" customHeight="1" x14ac:dyDescent="0.2"/>
    <row r="480" ht="14.1" hidden="1" customHeight="1" x14ac:dyDescent="0.2"/>
    <row r="481" ht="14.1" hidden="1" customHeight="1" x14ac:dyDescent="0.2"/>
    <row r="482" ht="14.1" hidden="1" customHeight="1" x14ac:dyDescent="0.2"/>
    <row r="483" ht="14.1" hidden="1" customHeight="1" x14ac:dyDescent="0.2"/>
    <row r="484" ht="14.1" hidden="1" customHeight="1" x14ac:dyDescent="0.2"/>
    <row r="485" ht="14.1" hidden="1" customHeight="1" x14ac:dyDescent="0.2"/>
    <row r="486" ht="14.1" hidden="1" customHeight="1" x14ac:dyDescent="0.2"/>
    <row r="487" ht="14.1" hidden="1" customHeight="1" x14ac:dyDescent="0.2"/>
    <row r="488" ht="14.1" hidden="1" customHeight="1" x14ac:dyDescent="0.2"/>
    <row r="489" ht="14.1" hidden="1" customHeight="1" x14ac:dyDescent="0.2"/>
    <row r="490" ht="14.1" hidden="1" customHeight="1" x14ac:dyDescent="0.2"/>
    <row r="491" ht="14.1" hidden="1" customHeight="1" x14ac:dyDescent="0.2"/>
    <row r="492" ht="14.1" hidden="1" customHeight="1" x14ac:dyDescent="0.2"/>
    <row r="493" ht="14.1" hidden="1" customHeight="1" x14ac:dyDescent="0.2"/>
    <row r="494" ht="14.1" hidden="1" customHeight="1" x14ac:dyDescent="0.2"/>
    <row r="495" ht="14.1" hidden="1" customHeight="1" x14ac:dyDescent="0.2"/>
    <row r="496" ht="14.1" hidden="1" customHeight="1" x14ac:dyDescent="0.2"/>
    <row r="497" ht="14.1" hidden="1" customHeight="1" x14ac:dyDescent="0.2"/>
    <row r="498" ht="14.1" hidden="1" customHeight="1" x14ac:dyDescent="0.2"/>
    <row r="499" ht="14.1" hidden="1" customHeight="1" x14ac:dyDescent="0.2"/>
    <row r="500" ht="14.1" hidden="1" customHeight="1" x14ac:dyDescent="0.2"/>
    <row r="501" ht="14.1" hidden="1" customHeight="1" x14ac:dyDescent="0.2"/>
    <row r="502" ht="14.1" hidden="1" customHeight="1" x14ac:dyDescent="0.2"/>
    <row r="503" ht="14.1" hidden="1" customHeight="1" x14ac:dyDescent="0.2"/>
    <row r="504" ht="14.1" hidden="1" customHeight="1" x14ac:dyDescent="0.2"/>
    <row r="505" ht="14.1" hidden="1" customHeight="1" x14ac:dyDescent="0.2"/>
    <row r="506" ht="14.1" hidden="1" customHeight="1" x14ac:dyDescent="0.2"/>
    <row r="507" ht="14.1" hidden="1" customHeight="1" x14ac:dyDescent="0.2"/>
    <row r="508" ht="14.1" hidden="1" customHeight="1" x14ac:dyDescent="0.2"/>
    <row r="509" ht="14.1" hidden="1" customHeight="1" x14ac:dyDescent="0.2"/>
    <row r="510" ht="14.1" hidden="1" customHeight="1" x14ac:dyDescent="0.2"/>
    <row r="511" ht="14.1" hidden="1" customHeight="1" x14ac:dyDescent="0.2"/>
    <row r="512" ht="14.1" hidden="1" customHeight="1" x14ac:dyDescent="0.2"/>
    <row r="513" ht="14.1" hidden="1" customHeight="1" x14ac:dyDescent="0.2"/>
    <row r="514" ht="14.1" hidden="1" customHeight="1" x14ac:dyDescent="0.2"/>
    <row r="515" ht="14.1" hidden="1" customHeight="1" x14ac:dyDescent="0.2"/>
    <row r="516" ht="14.1" hidden="1" customHeight="1" x14ac:dyDescent="0.2"/>
    <row r="517" ht="14.1" hidden="1" customHeight="1" x14ac:dyDescent="0.2"/>
    <row r="518" ht="14.1" hidden="1" customHeight="1" x14ac:dyDescent="0.2"/>
    <row r="519" ht="14.1" hidden="1" customHeight="1" x14ac:dyDescent="0.2"/>
    <row r="520" ht="14.1" hidden="1" customHeight="1" x14ac:dyDescent="0.2"/>
    <row r="521" ht="14.1" hidden="1" customHeight="1" x14ac:dyDescent="0.2"/>
    <row r="522" ht="14.1" hidden="1" customHeight="1" x14ac:dyDescent="0.2"/>
    <row r="523" ht="14.1" hidden="1" customHeight="1" x14ac:dyDescent="0.2"/>
    <row r="524" ht="14.1" hidden="1" customHeight="1" x14ac:dyDescent="0.2"/>
    <row r="525" ht="14.1" hidden="1" customHeight="1" x14ac:dyDescent="0.2"/>
    <row r="526" ht="14.1" hidden="1" customHeight="1" x14ac:dyDescent="0.2"/>
    <row r="527" ht="14.1" hidden="1" customHeight="1" x14ac:dyDescent="0.2"/>
    <row r="528" ht="14.1" hidden="1" customHeight="1" x14ac:dyDescent="0.2"/>
    <row r="529" ht="14.1" hidden="1" customHeight="1" x14ac:dyDescent="0.2"/>
    <row r="530" ht="14.1" hidden="1" customHeight="1" x14ac:dyDescent="0.2"/>
    <row r="531" ht="14.1" hidden="1" customHeight="1" x14ac:dyDescent="0.2"/>
    <row r="532" ht="14.1" hidden="1" customHeight="1" x14ac:dyDescent="0.2"/>
    <row r="533" ht="14.1" hidden="1" customHeight="1" x14ac:dyDescent="0.2"/>
    <row r="534" ht="14.1" hidden="1" customHeight="1" x14ac:dyDescent="0.2"/>
    <row r="535" ht="14.1" hidden="1" customHeight="1" x14ac:dyDescent="0.2"/>
    <row r="536" ht="14.1" hidden="1" customHeight="1" x14ac:dyDescent="0.2"/>
    <row r="537" ht="14.1" hidden="1" customHeight="1" x14ac:dyDescent="0.2"/>
    <row r="538" ht="14.1" hidden="1" customHeight="1" x14ac:dyDescent="0.2"/>
    <row r="539" ht="14.1" hidden="1" customHeight="1" x14ac:dyDescent="0.2"/>
    <row r="540" ht="14.1" hidden="1" customHeight="1" x14ac:dyDescent="0.2"/>
    <row r="541" ht="14.1" hidden="1" customHeight="1" x14ac:dyDescent="0.2"/>
    <row r="542" ht="14.1" hidden="1" customHeight="1" x14ac:dyDescent="0.2"/>
    <row r="543" ht="14.1" hidden="1" customHeight="1" x14ac:dyDescent="0.2"/>
    <row r="544" ht="14.1" hidden="1" customHeight="1" x14ac:dyDescent="0.2"/>
    <row r="545" ht="14.1" hidden="1" customHeight="1" x14ac:dyDescent="0.2"/>
    <row r="546" ht="14.1" hidden="1" customHeight="1" x14ac:dyDescent="0.2"/>
    <row r="547" ht="14.1" hidden="1" customHeight="1" x14ac:dyDescent="0.2"/>
    <row r="548" ht="14.1" hidden="1" customHeight="1" x14ac:dyDescent="0.2"/>
    <row r="549" ht="14.1" hidden="1" customHeight="1" x14ac:dyDescent="0.2"/>
    <row r="550" ht="14.1" hidden="1" customHeight="1" x14ac:dyDescent="0.2"/>
    <row r="551" ht="14.1" hidden="1" customHeight="1" x14ac:dyDescent="0.2"/>
    <row r="552" ht="14.1" hidden="1" customHeight="1" x14ac:dyDescent="0.2"/>
    <row r="553" ht="14.1" hidden="1" customHeight="1" x14ac:dyDescent="0.2"/>
    <row r="554" ht="14.1" hidden="1" customHeight="1" x14ac:dyDescent="0.2"/>
    <row r="555" ht="14.1" hidden="1" customHeight="1" x14ac:dyDescent="0.2"/>
    <row r="556" ht="14.1" hidden="1" customHeight="1" x14ac:dyDescent="0.2"/>
    <row r="557" ht="14.1" hidden="1" customHeight="1" x14ac:dyDescent="0.2"/>
    <row r="558" ht="14.1" hidden="1" customHeight="1" x14ac:dyDescent="0.2"/>
    <row r="559" ht="14.1" hidden="1" customHeight="1" x14ac:dyDescent="0.2"/>
    <row r="560" ht="14.1" hidden="1" customHeight="1" x14ac:dyDescent="0.2"/>
    <row r="561" ht="14.1" hidden="1" customHeight="1" x14ac:dyDescent="0.2"/>
    <row r="562" ht="14.1" hidden="1" customHeight="1" x14ac:dyDescent="0.2"/>
    <row r="563" ht="14.1" hidden="1" customHeight="1" x14ac:dyDescent="0.2"/>
    <row r="564" ht="14.1" hidden="1" customHeight="1" x14ac:dyDescent="0.2"/>
    <row r="565" ht="14.1" hidden="1" customHeight="1" x14ac:dyDescent="0.2"/>
    <row r="566" ht="14.1" hidden="1" customHeight="1" x14ac:dyDescent="0.2"/>
    <row r="567" ht="14.1" hidden="1" customHeight="1" x14ac:dyDescent="0.2"/>
    <row r="568" ht="14.1" hidden="1" customHeight="1" x14ac:dyDescent="0.2"/>
    <row r="569" ht="14.1" hidden="1" customHeight="1" x14ac:dyDescent="0.2"/>
    <row r="570" ht="14.1" hidden="1" customHeight="1" x14ac:dyDescent="0.2"/>
    <row r="571" ht="14.1" hidden="1" customHeight="1" x14ac:dyDescent="0.2"/>
    <row r="572" ht="14.1" hidden="1" customHeight="1" x14ac:dyDescent="0.2"/>
    <row r="573" ht="14.1" hidden="1" customHeight="1" x14ac:dyDescent="0.2"/>
    <row r="574" ht="14.1" hidden="1" customHeight="1" x14ac:dyDescent="0.2"/>
    <row r="575" ht="14.1" hidden="1" customHeight="1" x14ac:dyDescent="0.2"/>
    <row r="576" ht="14.1" hidden="1" customHeight="1" x14ac:dyDescent="0.2"/>
    <row r="577" ht="14.1" hidden="1" customHeight="1" x14ac:dyDescent="0.2"/>
    <row r="578" ht="14.1" hidden="1" customHeight="1" x14ac:dyDescent="0.2"/>
    <row r="579" ht="14.1" hidden="1" customHeight="1" x14ac:dyDescent="0.2"/>
    <row r="580" ht="14.1" hidden="1" customHeight="1" x14ac:dyDescent="0.2"/>
    <row r="581" ht="14.1" hidden="1" customHeight="1" x14ac:dyDescent="0.2"/>
    <row r="582" ht="14.1" hidden="1" customHeight="1" x14ac:dyDescent="0.2"/>
    <row r="583" ht="14.1" hidden="1" customHeight="1" x14ac:dyDescent="0.2"/>
    <row r="584" ht="14.1" hidden="1" customHeight="1" x14ac:dyDescent="0.2"/>
    <row r="585" ht="14.1" hidden="1" customHeight="1" x14ac:dyDescent="0.2"/>
    <row r="586" ht="14.1" hidden="1" customHeight="1" x14ac:dyDescent="0.2"/>
    <row r="587" ht="14.1" hidden="1" customHeight="1" x14ac:dyDescent="0.2"/>
    <row r="588" ht="14.1" hidden="1" customHeight="1" x14ac:dyDescent="0.2"/>
    <row r="589" ht="14.1" hidden="1" customHeight="1" x14ac:dyDescent="0.2"/>
    <row r="590" ht="14.1" hidden="1" customHeight="1" x14ac:dyDescent="0.2"/>
    <row r="591" ht="14.1" hidden="1" customHeight="1" x14ac:dyDescent="0.2"/>
    <row r="592" ht="14.1" hidden="1" customHeight="1" x14ac:dyDescent="0.2"/>
    <row r="593" ht="14.1" hidden="1" customHeight="1" x14ac:dyDescent="0.2"/>
    <row r="594" ht="14.1" hidden="1" customHeight="1" x14ac:dyDescent="0.2"/>
    <row r="595" ht="14.1" hidden="1" customHeight="1" x14ac:dyDescent="0.2"/>
    <row r="596" ht="14.1" hidden="1" customHeight="1" x14ac:dyDescent="0.2"/>
    <row r="597" ht="14.1" hidden="1" customHeight="1" x14ac:dyDescent="0.2"/>
    <row r="598" ht="14.1" hidden="1" customHeight="1" x14ac:dyDescent="0.2"/>
    <row r="599" ht="14.1" hidden="1" customHeight="1" x14ac:dyDescent="0.2"/>
    <row r="600" ht="14.1" hidden="1" customHeight="1" x14ac:dyDescent="0.2"/>
    <row r="601" ht="14.1" hidden="1" customHeight="1" x14ac:dyDescent="0.2"/>
    <row r="602" ht="14.1" hidden="1" customHeight="1" x14ac:dyDescent="0.2"/>
    <row r="603" ht="14.1" hidden="1" customHeight="1" x14ac:dyDescent="0.2"/>
    <row r="604" ht="14.1" hidden="1" customHeight="1" x14ac:dyDescent="0.2"/>
    <row r="605" ht="14.1" hidden="1" customHeight="1" x14ac:dyDescent="0.2"/>
    <row r="606" ht="14.1" hidden="1" customHeight="1" x14ac:dyDescent="0.2"/>
    <row r="607" ht="14.1" hidden="1" customHeight="1" x14ac:dyDescent="0.2"/>
    <row r="608" ht="14.1" hidden="1" customHeight="1" x14ac:dyDescent="0.2"/>
    <row r="609" ht="14.1" hidden="1" customHeight="1" x14ac:dyDescent="0.2"/>
    <row r="610" ht="14.1" hidden="1" customHeight="1" x14ac:dyDescent="0.2"/>
    <row r="611" ht="14.1" hidden="1" customHeight="1" x14ac:dyDescent="0.2"/>
    <row r="612" ht="14.1" hidden="1" customHeight="1" x14ac:dyDescent="0.2"/>
    <row r="613" ht="14.1" hidden="1" customHeight="1" x14ac:dyDescent="0.2"/>
    <row r="614" ht="14.1" hidden="1" customHeight="1" x14ac:dyDescent="0.2"/>
    <row r="615" ht="14.1" hidden="1" customHeight="1" x14ac:dyDescent="0.2"/>
    <row r="616" ht="14.1" hidden="1" customHeight="1" x14ac:dyDescent="0.2"/>
    <row r="617" ht="14.1" hidden="1" customHeight="1" x14ac:dyDescent="0.2"/>
    <row r="618" ht="14.1" hidden="1" customHeight="1" x14ac:dyDescent="0.2"/>
    <row r="619" ht="14.1" hidden="1" customHeight="1" x14ac:dyDescent="0.2"/>
    <row r="620" ht="14.1" hidden="1" customHeight="1" x14ac:dyDescent="0.2"/>
    <row r="621" ht="14.1" hidden="1" customHeight="1" x14ac:dyDescent="0.2"/>
    <row r="622" ht="14.1" hidden="1" customHeight="1" x14ac:dyDescent="0.2"/>
    <row r="623" ht="14.1" hidden="1" customHeight="1" x14ac:dyDescent="0.2"/>
    <row r="624" ht="14.1" hidden="1" customHeight="1" x14ac:dyDescent="0.2"/>
    <row r="625" ht="14.1" hidden="1" customHeight="1" x14ac:dyDescent="0.2"/>
    <row r="626" ht="14.1" hidden="1" customHeight="1" x14ac:dyDescent="0.2"/>
    <row r="627" ht="14.1" hidden="1" customHeight="1" x14ac:dyDescent="0.2"/>
    <row r="628" ht="14.1" hidden="1" customHeight="1" x14ac:dyDescent="0.2"/>
    <row r="629" ht="14.1" hidden="1" customHeight="1" x14ac:dyDescent="0.2"/>
    <row r="630" ht="14.1" hidden="1" customHeight="1" x14ac:dyDescent="0.2"/>
    <row r="631" ht="14.1" hidden="1" customHeight="1" x14ac:dyDescent="0.2"/>
    <row r="632" ht="14.1" hidden="1" customHeight="1" x14ac:dyDescent="0.2"/>
    <row r="633" ht="14.1" hidden="1" customHeight="1" x14ac:dyDescent="0.2"/>
    <row r="634" ht="14.1" hidden="1" customHeight="1" x14ac:dyDescent="0.2"/>
    <row r="635" ht="14.1" hidden="1" customHeight="1" x14ac:dyDescent="0.2"/>
    <row r="636" ht="14.1" hidden="1" customHeight="1" x14ac:dyDescent="0.2"/>
    <row r="637" ht="14.1" hidden="1" customHeight="1" x14ac:dyDescent="0.2"/>
    <row r="638" ht="14.1" hidden="1" customHeight="1" x14ac:dyDescent="0.2"/>
    <row r="639" ht="14.1" hidden="1" customHeight="1" x14ac:dyDescent="0.2"/>
    <row r="640" ht="14.1" hidden="1" customHeight="1" x14ac:dyDescent="0.2"/>
    <row r="641" ht="14.1" hidden="1" customHeight="1" x14ac:dyDescent="0.2"/>
    <row r="642" ht="14.1" hidden="1" customHeight="1" x14ac:dyDescent="0.2"/>
    <row r="643" ht="14.1" hidden="1" customHeight="1" x14ac:dyDescent="0.2"/>
    <row r="644" ht="14.1" hidden="1" customHeight="1" x14ac:dyDescent="0.2"/>
    <row r="645" ht="14.1" hidden="1" customHeight="1" x14ac:dyDescent="0.2"/>
    <row r="646" ht="14.1" hidden="1" customHeight="1" x14ac:dyDescent="0.2"/>
    <row r="647" ht="14.1" hidden="1" customHeight="1" x14ac:dyDescent="0.2"/>
    <row r="648" ht="14.1" hidden="1" customHeight="1" x14ac:dyDescent="0.2"/>
    <row r="649" ht="14.1" hidden="1" customHeight="1" x14ac:dyDescent="0.2"/>
    <row r="650" ht="14.1" hidden="1" customHeight="1" x14ac:dyDescent="0.2"/>
    <row r="651" ht="14.1" hidden="1" customHeight="1" x14ac:dyDescent="0.2"/>
    <row r="652" ht="14.1" hidden="1" customHeight="1" x14ac:dyDescent="0.2"/>
    <row r="653" ht="14.1" hidden="1" customHeight="1" x14ac:dyDescent="0.2"/>
    <row r="654" ht="14.1" hidden="1" customHeight="1" x14ac:dyDescent="0.2"/>
    <row r="655" ht="14.1" hidden="1" customHeight="1" x14ac:dyDescent="0.2"/>
    <row r="656" ht="14.1" hidden="1" customHeight="1" x14ac:dyDescent="0.2"/>
    <row r="657" ht="14.1" hidden="1" customHeight="1" x14ac:dyDescent="0.2"/>
    <row r="658" ht="14.1" hidden="1" customHeight="1" x14ac:dyDescent="0.2"/>
    <row r="659" ht="14.1" hidden="1" customHeight="1" x14ac:dyDescent="0.2"/>
    <row r="660" ht="14.1" hidden="1" customHeight="1" x14ac:dyDescent="0.2"/>
    <row r="661" ht="14.1" hidden="1" customHeight="1" x14ac:dyDescent="0.2"/>
    <row r="662" ht="14.1" hidden="1" customHeight="1" x14ac:dyDescent="0.2"/>
    <row r="663" ht="14.1" hidden="1" customHeight="1" x14ac:dyDescent="0.2"/>
    <row r="664" ht="14.1" hidden="1" customHeight="1" x14ac:dyDescent="0.2"/>
    <row r="665" ht="14.1" hidden="1" customHeight="1" x14ac:dyDescent="0.2"/>
    <row r="666" ht="14.1" hidden="1" customHeight="1" x14ac:dyDescent="0.2"/>
    <row r="667" ht="14.1" hidden="1" customHeight="1" x14ac:dyDescent="0.2"/>
    <row r="668" ht="14.1" hidden="1" customHeight="1" x14ac:dyDescent="0.2"/>
    <row r="669" ht="14.1" hidden="1" customHeight="1" x14ac:dyDescent="0.2"/>
    <row r="670" ht="14.1" hidden="1" customHeight="1" x14ac:dyDescent="0.2"/>
    <row r="671" ht="14.1" hidden="1" customHeight="1" x14ac:dyDescent="0.2"/>
    <row r="672" ht="14.1" hidden="1" customHeight="1" x14ac:dyDescent="0.2"/>
    <row r="673" ht="14.1" hidden="1" customHeight="1" x14ac:dyDescent="0.2"/>
    <row r="674" ht="14.1" hidden="1" customHeight="1" x14ac:dyDescent="0.2"/>
    <row r="675" ht="14.1" hidden="1" customHeight="1" x14ac:dyDescent="0.2"/>
    <row r="676" ht="14.1" hidden="1" customHeight="1" x14ac:dyDescent="0.2"/>
    <row r="677" ht="14.1" hidden="1" customHeight="1" x14ac:dyDescent="0.2"/>
    <row r="678" ht="14.1" hidden="1" customHeight="1" x14ac:dyDescent="0.2"/>
    <row r="679" ht="14.1" hidden="1" customHeight="1" x14ac:dyDescent="0.2"/>
    <row r="680" ht="14.1" hidden="1" customHeight="1" x14ac:dyDescent="0.2"/>
    <row r="681" ht="14.1" hidden="1" customHeight="1" x14ac:dyDescent="0.2"/>
    <row r="682" ht="14.1" hidden="1" customHeight="1" x14ac:dyDescent="0.2"/>
    <row r="683" ht="14.1" hidden="1" customHeight="1" x14ac:dyDescent="0.2"/>
    <row r="684" ht="14.1" hidden="1" customHeight="1" x14ac:dyDescent="0.2"/>
    <row r="685" ht="14.1" hidden="1" customHeight="1" x14ac:dyDescent="0.2"/>
    <row r="686" ht="14.1" hidden="1" customHeight="1" x14ac:dyDescent="0.2"/>
    <row r="687" ht="14.1" hidden="1" customHeight="1" x14ac:dyDescent="0.2"/>
    <row r="688" ht="14.1" hidden="1" customHeight="1" x14ac:dyDescent="0.2"/>
    <row r="689" ht="14.1" hidden="1" customHeight="1" x14ac:dyDescent="0.2"/>
    <row r="690" ht="14.1" hidden="1" customHeight="1" x14ac:dyDescent="0.2"/>
    <row r="691" ht="14.1" hidden="1" customHeight="1" x14ac:dyDescent="0.2"/>
    <row r="692" ht="14.1" hidden="1" customHeight="1" x14ac:dyDescent="0.2"/>
    <row r="693" ht="14.1" hidden="1" customHeight="1" x14ac:dyDescent="0.2"/>
    <row r="694" ht="14.1" hidden="1" customHeight="1" x14ac:dyDescent="0.2"/>
    <row r="695" ht="14.1" hidden="1" customHeight="1" x14ac:dyDescent="0.2"/>
    <row r="696" ht="14.1" hidden="1" customHeight="1" x14ac:dyDescent="0.2"/>
    <row r="697" ht="14.1" hidden="1" customHeight="1" x14ac:dyDescent="0.2"/>
    <row r="698" ht="14.1" hidden="1" customHeight="1" x14ac:dyDescent="0.2"/>
    <row r="699" ht="14.1" hidden="1" customHeight="1" x14ac:dyDescent="0.2"/>
    <row r="700" ht="14.1" hidden="1" customHeight="1" x14ac:dyDescent="0.2"/>
    <row r="701" ht="14.1" hidden="1" customHeight="1" x14ac:dyDescent="0.2"/>
    <row r="702" ht="14.1" hidden="1" customHeight="1" x14ac:dyDescent="0.2"/>
    <row r="703" ht="14.1" hidden="1" customHeight="1" x14ac:dyDescent="0.2"/>
    <row r="704" ht="14.1" hidden="1" customHeight="1" x14ac:dyDescent="0.2"/>
    <row r="705" ht="14.1" hidden="1" customHeight="1" x14ac:dyDescent="0.2"/>
    <row r="706" ht="14.1" hidden="1" customHeight="1" x14ac:dyDescent="0.2"/>
    <row r="707" ht="14.1" hidden="1" customHeight="1" x14ac:dyDescent="0.2"/>
    <row r="708" ht="14.1" hidden="1" customHeight="1" x14ac:dyDescent="0.2"/>
    <row r="709" ht="14.1" hidden="1" customHeight="1" x14ac:dyDescent="0.2"/>
    <row r="710" ht="14.1" hidden="1" customHeight="1" x14ac:dyDescent="0.2"/>
    <row r="711" ht="14.1" hidden="1" customHeight="1" x14ac:dyDescent="0.2"/>
    <row r="712" ht="14.1" hidden="1" customHeight="1" x14ac:dyDescent="0.2"/>
    <row r="713" ht="14.1" hidden="1" customHeight="1" x14ac:dyDescent="0.2"/>
    <row r="714" ht="14.1" hidden="1" customHeight="1" x14ac:dyDescent="0.2"/>
    <row r="715" ht="14.1" hidden="1" customHeight="1" x14ac:dyDescent="0.2"/>
    <row r="716" ht="14.1" hidden="1" customHeight="1" x14ac:dyDescent="0.2"/>
    <row r="717" ht="14.1" hidden="1" customHeight="1" x14ac:dyDescent="0.2"/>
    <row r="718" ht="14.1" hidden="1" customHeight="1" x14ac:dyDescent="0.2"/>
    <row r="719" ht="14.1" hidden="1" customHeight="1" x14ac:dyDescent="0.2"/>
    <row r="720" ht="14.1" hidden="1" customHeight="1" x14ac:dyDescent="0.2"/>
    <row r="721" ht="14.1" hidden="1" customHeight="1" x14ac:dyDescent="0.2"/>
    <row r="722" ht="14.1" hidden="1" customHeight="1" x14ac:dyDescent="0.2"/>
    <row r="723" ht="14.1" hidden="1" customHeight="1" x14ac:dyDescent="0.2"/>
    <row r="724" ht="14.1" hidden="1" customHeight="1" x14ac:dyDescent="0.2"/>
    <row r="725" ht="14.1" hidden="1" customHeight="1" x14ac:dyDescent="0.2"/>
    <row r="726" ht="14.1" hidden="1" customHeight="1" x14ac:dyDescent="0.2"/>
    <row r="727" ht="14.1" hidden="1" customHeight="1" x14ac:dyDescent="0.2"/>
    <row r="728" ht="14.1" hidden="1" customHeight="1" x14ac:dyDescent="0.2"/>
    <row r="729" ht="14.1" hidden="1" customHeight="1" x14ac:dyDescent="0.2"/>
    <row r="730" ht="14.1" hidden="1" customHeight="1" x14ac:dyDescent="0.2"/>
    <row r="731" ht="14.1" hidden="1" customHeight="1" x14ac:dyDescent="0.2"/>
    <row r="732" ht="14.1" hidden="1" customHeight="1" x14ac:dyDescent="0.2"/>
    <row r="733" ht="14.1" hidden="1" customHeight="1" x14ac:dyDescent="0.2"/>
    <row r="734" ht="14.1" hidden="1" customHeight="1" x14ac:dyDescent="0.2"/>
    <row r="735" ht="14.1" hidden="1" customHeight="1" x14ac:dyDescent="0.2"/>
    <row r="736" ht="14.1" hidden="1" customHeight="1" x14ac:dyDescent="0.2"/>
    <row r="737" ht="14.1" hidden="1" customHeight="1" x14ac:dyDescent="0.2"/>
    <row r="738" ht="14.1" hidden="1" customHeight="1" x14ac:dyDescent="0.2"/>
    <row r="739" ht="14.1" hidden="1" customHeight="1" x14ac:dyDescent="0.2"/>
    <row r="740" ht="14.1" hidden="1" customHeight="1" x14ac:dyDescent="0.2"/>
    <row r="741" ht="14.1" hidden="1" customHeight="1" x14ac:dyDescent="0.2"/>
    <row r="742" ht="14.1" hidden="1" customHeight="1" x14ac:dyDescent="0.2"/>
    <row r="743" ht="14.1" hidden="1" customHeight="1" x14ac:dyDescent="0.2"/>
    <row r="744" ht="14.1" hidden="1" customHeight="1" x14ac:dyDescent="0.2"/>
    <row r="745" ht="14.1" hidden="1" customHeight="1" x14ac:dyDescent="0.2"/>
    <row r="746" ht="14.1" hidden="1" customHeight="1" x14ac:dyDescent="0.2"/>
    <row r="747" ht="14.1" hidden="1" customHeight="1" x14ac:dyDescent="0.2"/>
    <row r="748" ht="14.1" hidden="1" customHeight="1" x14ac:dyDescent="0.2"/>
    <row r="749" ht="14.1" hidden="1" customHeight="1" x14ac:dyDescent="0.2"/>
    <row r="750" ht="14.1" hidden="1" customHeight="1" x14ac:dyDescent="0.2"/>
    <row r="751" ht="14.1" hidden="1" customHeight="1" x14ac:dyDescent="0.2"/>
    <row r="752" ht="14.1" hidden="1" customHeight="1" x14ac:dyDescent="0.2"/>
    <row r="753" ht="14.1" hidden="1" customHeight="1" x14ac:dyDescent="0.2"/>
    <row r="754" ht="14.1" hidden="1" customHeight="1" x14ac:dyDescent="0.2"/>
    <row r="755" ht="14.1" hidden="1" customHeight="1" x14ac:dyDescent="0.2"/>
    <row r="756" ht="14.1" hidden="1" customHeight="1" x14ac:dyDescent="0.2"/>
    <row r="757" ht="14.1" hidden="1" customHeight="1" x14ac:dyDescent="0.2"/>
    <row r="758" ht="14.1" hidden="1" customHeight="1" x14ac:dyDescent="0.2"/>
    <row r="759" ht="14.1" hidden="1" customHeight="1" x14ac:dyDescent="0.2"/>
    <row r="760" ht="14.1" hidden="1" customHeight="1" x14ac:dyDescent="0.2"/>
    <row r="761" ht="14.1" hidden="1" customHeight="1" x14ac:dyDescent="0.2"/>
    <row r="762" ht="14.1" hidden="1" customHeight="1" x14ac:dyDescent="0.2"/>
    <row r="763" ht="14.1" hidden="1" customHeight="1" x14ac:dyDescent="0.2"/>
    <row r="764" ht="14.1" hidden="1" customHeight="1" x14ac:dyDescent="0.2"/>
    <row r="765" ht="14.1" hidden="1" customHeight="1" x14ac:dyDescent="0.2"/>
    <row r="766" ht="14.1" hidden="1" customHeight="1" x14ac:dyDescent="0.2"/>
    <row r="767" ht="14.1" hidden="1" customHeight="1" x14ac:dyDescent="0.2"/>
    <row r="768" ht="14.1" hidden="1" customHeight="1" x14ac:dyDescent="0.2"/>
    <row r="769" ht="14.1" hidden="1" customHeight="1" x14ac:dyDescent="0.2"/>
    <row r="770" ht="14.1" hidden="1" customHeight="1" x14ac:dyDescent="0.2"/>
    <row r="771" ht="14.1" hidden="1" customHeight="1" x14ac:dyDescent="0.2"/>
    <row r="772" ht="14.1" hidden="1" customHeight="1" x14ac:dyDescent="0.2"/>
    <row r="773" ht="14.1" hidden="1" customHeight="1" x14ac:dyDescent="0.2"/>
    <row r="774" ht="14.1" hidden="1" customHeight="1" x14ac:dyDescent="0.2"/>
    <row r="775" ht="14.1" hidden="1" customHeight="1" x14ac:dyDescent="0.2"/>
    <row r="776" ht="14.1" hidden="1" customHeight="1" x14ac:dyDescent="0.2"/>
    <row r="777" ht="14.1" hidden="1" customHeight="1" x14ac:dyDescent="0.2"/>
    <row r="778" ht="14.1" hidden="1" customHeight="1" x14ac:dyDescent="0.2"/>
    <row r="779" ht="14.1" hidden="1" customHeight="1" x14ac:dyDescent="0.2"/>
    <row r="780" ht="14.1" hidden="1" customHeight="1" x14ac:dyDescent="0.2"/>
    <row r="781" ht="14.1" hidden="1" customHeight="1" x14ac:dyDescent="0.2"/>
    <row r="782" ht="14.1" hidden="1" customHeight="1" x14ac:dyDescent="0.2"/>
    <row r="783" ht="14.1" hidden="1" customHeight="1" x14ac:dyDescent="0.2"/>
    <row r="784" ht="14.1" hidden="1" customHeight="1" x14ac:dyDescent="0.2"/>
    <row r="785" ht="14.1" hidden="1" customHeight="1" x14ac:dyDescent="0.2"/>
    <row r="786" ht="14.1" hidden="1" customHeight="1" x14ac:dyDescent="0.2"/>
    <row r="787" ht="14.1" hidden="1" customHeight="1" x14ac:dyDescent="0.2"/>
    <row r="788" ht="14.1" hidden="1" customHeight="1" x14ac:dyDescent="0.2"/>
    <row r="789" ht="14.1" hidden="1" customHeight="1" x14ac:dyDescent="0.2"/>
    <row r="790" ht="14.1" hidden="1" customHeight="1" x14ac:dyDescent="0.2"/>
    <row r="791" ht="14.1" hidden="1" customHeight="1" x14ac:dyDescent="0.2"/>
    <row r="792" ht="14.1" hidden="1" customHeight="1" x14ac:dyDescent="0.2"/>
    <row r="793" ht="14.1" hidden="1" customHeight="1" x14ac:dyDescent="0.2"/>
    <row r="794" ht="14.1" hidden="1" customHeight="1" x14ac:dyDescent="0.2"/>
    <row r="795" ht="14.1" hidden="1" customHeight="1" x14ac:dyDescent="0.2"/>
    <row r="796" ht="14.1" hidden="1" customHeight="1" x14ac:dyDescent="0.2"/>
    <row r="797" ht="14.1" hidden="1" customHeight="1" x14ac:dyDescent="0.2"/>
    <row r="798" ht="14.1" hidden="1" customHeight="1" x14ac:dyDescent="0.2"/>
    <row r="799" ht="14.1" hidden="1" customHeight="1" x14ac:dyDescent="0.2"/>
    <row r="800" ht="14.1" hidden="1" customHeight="1" x14ac:dyDescent="0.2"/>
    <row r="801" ht="14.1" hidden="1" customHeight="1" x14ac:dyDescent="0.2"/>
    <row r="802" ht="14.1" hidden="1" customHeight="1" x14ac:dyDescent="0.2"/>
    <row r="803" ht="14.1" hidden="1" customHeight="1" x14ac:dyDescent="0.2"/>
    <row r="804" ht="14.1" hidden="1" customHeight="1" x14ac:dyDescent="0.2"/>
    <row r="805" ht="14.1" hidden="1" customHeight="1" x14ac:dyDescent="0.2"/>
    <row r="806" ht="14.1" hidden="1" customHeight="1" x14ac:dyDescent="0.2"/>
    <row r="807" ht="14.1" hidden="1" customHeight="1" x14ac:dyDescent="0.2"/>
    <row r="808" ht="14.1" hidden="1" customHeight="1" x14ac:dyDescent="0.2"/>
    <row r="809" ht="14.1" hidden="1" customHeight="1" x14ac:dyDescent="0.2"/>
    <row r="810" ht="14.1" hidden="1" customHeight="1" x14ac:dyDescent="0.2"/>
    <row r="811" ht="14.1" hidden="1" customHeight="1" x14ac:dyDescent="0.2"/>
    <row r="812" ht="14.1" hidden="1" customHeight="1" x14ac:dyDescent="0.2"/>
    <row r="813" ht="14.1" hidden="1" customHeight="1" x14ac:dyDescent="0.2"/>
    <row r="814" ht="14.1" hidden="1" customHeight="1" x14ac:dyDescent="0.2"/>
    <row r="815" ht="14.1" hidden="1" customHeight="1" x14ac:dyDescent="0.2"/>
    <row r="816" ht="14.1" hidden="1" customHeight="1" x14ac:dyDescent="0.2"/>
    <row r="817" ht="14.1" hidden="1" customHeight="1" x14ac:dyDescent="0.2"/>
    <row r="818" ht="14.1" hidden="1" customHeight="1" x14ac:dyDescent="0.2"/>
    <row r="819" ht="14.1" hidden="1" customHeight="1" x14ac:dyDescent="0.2"/>
    <row r="820" ht="14.1" hidden="1" customHeight="1" x14ac:dyDescent="0.2"/>
    <row r="821" ht="14.1" hidden="1" customHeight="1" x14ac:dyDescent="0.2"/>
    <row r="822" ht="14.1" hidden="1" customHeight="1" x14ac:dyDescent="0.2"/>
    <row r="823" ht="14.1" hidden="1" customHeight="1" x14ac:dyDescent="0.2"/>
    <row r="824" ht="14.1" hidden="1" customHeight="1" x14ac:dyDescent="0.2"/>
    <row r="825" ht="14.1" hidden="1" customHeight="1" x14ac:dyDescent="0.2"/>
    <row r="826" ht="14.1" hidden="1" customHeight="1" x14ac:dyDescent="0.2"/>
    <row r="827" ht="14.1" hidden="1" customHeight="1" x14ac:dyDescent="0.2"/>
    <row r="828" ht="14.1" hidden="1" customHeight="1" x14ac:dyDescent="0.2"/>
    <row r="829" ht="14.1" hidden="1" customHeight="1" x14ac:dyDescent="0.2"/>
    <row r="830" ht="14.1" hidden="1" customHeight="1" x14ac:dyDescent="0.2"/>
    <row r="831" ht="14.1" hidden="1" customHeight="1" x14ac:dyDescent="0.2"/>
    <row r="832" ht="14.1" hidden="1" customHeight="1" x14ac:dyDescent="0.2"/>
    <row r="833" ht="14.1" hidden="1" customHeight="1" x14ac:dyDescent="0.2"/>
    <row r="834" ht="14.1" hidden="1" customHeight="1" x14ac:dyDescent="0.2"/>
    <row r="835" ht="14.1" hidden="1" customHeight="1" x14ac:dyDescent="0.2"/>
    <row r="836" ht="14.1" hidden="1" customHeight="1" x14ac:dyDescent="0.2"/>
    <row r="837" ht="14.1" hidden="1" customHeight="1" x14ac:dyDescent="0.2"/>
    <row r="838" ht="14.1" hidden="1" customHeight="1" x14ac:dyDescent="0.2"/>
    <row r="839" ht="14.1" hidden="1" customHeight="1" x14ac:dyDescent="0.2"/>
    <row r="840" ht="14.1" hidden="1" customHeight="1" x14ac:dyDescent="0.2"/>
    <row r="841" ht="14.1" hidden="1" customHeight="1" x14ac:dyDescent="0.2"/>
    <row r="842" ht="14.1" hidden="1" customHeight="1" x14ac:dyDescent="0.2"/>
    <row r="843" ht="14.1" hidden="1" customHeight="1" x14ac:dyDescent="0.2"/>
    <row r="844" ht="14.1" hidden="1" customHeight="1" x14ac:dyDescent="0.2"/>
    <row r="845" ht="14.1" hidden="1" customHeight="1" x14ac:dyDescent="0.2"/>
    <row r="846" ht="14.1" hidden="1" customHeight="1" x14ac:dyDescent="0.2"/>
    <row r="847" ht="14.1" hidden="1" customHeight="1" x14ac:dyDescent="0.2"/>
    <row r="848" ht="14.1" hidden="1" customHeight="1" x14ac:dyDescent="0.2"/>
    <row r="849" ht="14.1" hidden="1" customHeight="1" x14ac:dyDescent="0.2"/>
    <row r="850" ht="14.1" hidden="1" customHeight="1" x14ac:dyDescent="0.2"/>
    <row r="851" ht="14.1" hidden="1" customHeight="1" x14ac:dyDescent="0.2"/>
    <row r="852" ht="14.1" hidden="1" customHeight="1" x14ac:dyDescent="0.2"/>
    <row r="853" ht="14.1" hidden="1" customHeight="1" x14ac:dyDescent="0.2"/>
    <row r="854" ht="14.1" hidden="1" customHeight="1" x14ac:dyDescent="0.2"/>
    <row r="855" ht="14.1" hidden="1" customHeight="1" x14ac:dyDescent="0.2"/>
    <row r="856" ht="14.1" hidden="1" customHeight="1" x14ac:dyDescent="0.2"/>
    <row r="857" ht="14.1" hidden="1" customHeight="1" x14ac:dyDescent="0.2"/>
    <row r="858" ht="14.1" hidden="1" customHeight="1" x14ac:dyDescent="0.2"/>
    <row r="859" ht="14.1" hidden="1" customHeight="1" x14ac:dyDescent="0.2"/>
    <row r="860" ht="14.1" hidden="1" customHeight="1" x14ac:dyDescent="0.2"/>
    <row r="861" ht="14.1" hidden="1" customHeight="1" x14ac:dyDescent="0.2"/>
    <row r="862" ht="14.1" hidden="1" customHeight="1" x14ac:dyDescent="0.2"/>
    <row r="863" ht="14.1" hidden="1" customHeight="1" x14ac:dyDescent="0.2"/>
    <row r="864" ht="14.1" hidden="1" customHeight="1" x14ac:dyDescent="0.2"/>
    <row r="865" ht="14.1" hidden="1" customHeight="1" x14ac:dyDescent="0.2"/>
    <row r="866" ht="14.1" hidden="1" customHeight="1" x14ac:dyDescent="0.2"/>
    <row r="867" ht="14.1" hidden="1" customHeight="1" x14ac:dyDescent="0.2"/>
    <row r="868" ht="14.1" hidden="1" customHeight="1" x14ac:dyDescent="0.2"/>
    <row r="869" ht="14.1" hidden="1" customHeight="1" x14ac:dyDescent="0.2"/>
    <row r="870" ht="14.1" hidden="1" customHeight="1" x14ac:dyDescent="0.2"/>
    <row r="871" ht="14.1" hidden="1" customHeight="1" x14ac:dyDescent="0.2"/>
    <row r="872" ht="14.1" hidden="1" customHeight="1" x14ac:dyDescent="0.2"/>
    <row r="873" ht="14.1" hidden="1" customHeight="1" x14ac:dyDescent="0.2"/>
    <row r="874" ht="14.1" hidden="1" customHeight="1" x14ac:dyDescent="0.2"/>
    <row r="875" ht="14.1" hidden="1" customHeight="1" x14ac:dyDescent="0.2"/>
    <row r="876" ht="14.1" hidden="1" customHeight="1" x14ac:dyDescent="0.2"/>
    <row r="877" ht="14.1" hidden="1" customHeight="1" x14ac:dyDescent="0.2"/>
    <row r="878" ht="14.1" hidden="1" customHeight="1" x14ac:dyDescent="0.2"/>
    <row r="879" ht="14.1" hidden="1" customHeight="1" x14ac:dyDescent="0.2"/>
    <row r="880" ht="14.1" hidden="1" customHeight="1" x14ac:dyDescent="0.2"/>
    <row r="881" ht="14.1" hidden="1" customHeight="1" x14ac:dyDescent="0.2"/>
    <row r="882" ht="14.1" hidden="1" customHeight="1" x14ac:dyDescent="0.2"/>
    <row r="883" ht="14.1" hidden="1" customHeight="1" x14ac:dyDescent="0.2"/>
    <row r="884" ht="14.1" hidden="1" customHeight="1" x14ac:dyDescent="0.2"/>
    <row r="885" ht="14.1" hidden="1" customHeight="1" x14ac:dyDescent="0.2"/>
    <row r="886" ht="14.1" hidden="1" customHeight="1" x14ac:dyDescent="0.2"/>
    <row r="887" ht="14.1" hidden="1" customHeight="1" x14ac:dyDescent="0.2"/>
    <row r="888" ht="14.1" hidden="1" customHeight="1" x14ac:dyDescent="0.2"/>
    <row r="889" ht="14.1" hidden="1" customHeight="1" x14ac:dyDescent="0.2"/>
    <row r="890" ht="14.1" hidden="1" customHeight="1" x14ac:dyDescent="0.2"/>
    <row r="891" ht="14.1" hidden="1" customHeight="1" x14ac:dyDescent="0.2"/>
    <row r="892" ht="14.1" hidden="1" customHeight="1" x14ac:dyDescent="0.2"/>
    <row r="893" ht="14.1" hidden="1" customHeight="1" x14ac:dyDescent="0.2"/>
    <row r="894" ht="14.1" hidden="1" customHeight="1" x14ac:dyDescent="0.2"/>
    <row r="895" ht="14.1" hidden="1" customHeight="1" x14ac:dyDescent="0.2"/>
    <row r="896" ht="14.1" hidden="1" customHeight="1" x14ac:dyDescent="0.2"/>
    <row r="897" ht="14.1" hidden="1" customHeight="1" x14ac:dyDescent="0.2"/>
    <row r="898" ht="14.1" hidden="1" customHeight="1" x14ac:dyDescent="0.2"/>
    <row r="899" ht="14.1" hidden="1" customHeight="1" x14ac:dyDescent="0.2"/>
    <row r="900" ht="14.1" hidden="1" customHeight="1" x14ac:dyDescent="0.2"/>
    <row r="901" ht="14.1" hidden="1" customHeight="1" x14ac:dyDescent="0.2"/>
    <row r="902" ht="14.1" hidden="1" customHeight="1" x14ac:dyDescent="0.2"/>
    <row r="903" ht="14.1" hidden="1" customHeight="1" x14ac:dyDescent="0.2"/>
    <row r="904" ht="14.1" hidden="1" customHeight="1" x14ac:dyDescent="0.2"/>
    <row r="905" ht="14.1" hidden="1" customHeight="1" x14ac:dyDescent="0.2"/>
    <row r="906" ht="14.1" hidden="1" customHeight="1" x14ac:dyDescent="0.2"/>
    <row r="907" ht="14.1" hidden="1" customHeight="1" x14ac:dyDescent="0.2"/>
    <row r="908" ht="14.1" hidden="1" customHeight="1" x14ac:dyDescent="0.2"/>
    <row r="909" ht="14.1" hidden="1" customHeight="1" x14ac:dyDescent="0.2"/>
    <row r="910" ht="14.1" hidden="1" customHeight="1" x14ac:dyDescent="0.2"/>
    <row r="911" ht="14.1" hidden="1" customHeight="1" x14ac:dyDescent="0.2"/>
    <row r="912" ht="14.1" hidden="1" customHeight="1" x14ac:dyDescent="0.2"/>
    <row r="913" ht="14.1" hidden="1" customHeight="1" x14ac:dyDescent="0.2"/>
    <row r="914" ht="14.1" hidden="1" customHeight="1" x14ac:dyDescent="0.2"/>
    <row r="915" ht="14.1" hidden="1" customHeight="1" x14ac:dyDescent="0.2"/>
    <row r="916" ht="14.1" hidden="1" customHeight="1" x14ac:dyDescent="0.2"/>
    <row r="917" ht="14.1" hidden="1" customHeight="1" x14ac:dyDescent="0.2"/>
    <row r="918" ht="14.1" hidden="1" customHeight="1" x14ac:dyDescent="0.2"/>
    <row r="919" ht="14.1" hidden="1" customHeight="1" x14ac:dyDescent="0.2"/>
    <row r="920" ht="14.1" hidden="1" customHeight="1" x14ac:dyDescent="0.2"/>
    <row r="921" ht="14.1" hidden="1" customHeight="1" x14ac:dyDescent="0.2"/>
    <row r="922" ht="14.1" hidden="1" customHeight="1" x14ac:dyDescent="0.2"/>
    <row r="923" ht="14.1" hidden="1" customHeight="1" x14ac:dyDescent="0.2"/>
    <row r="924" ht="14.1" hidden="1" customHeight="1" x14ac:dyDescent="0.2"/>
    <row r="925" ht="14.1" hidden="1" customHeight="1" x14ac:dyDescent="0.2"/>
    <row r="926" ht="14.1" hidden="1" customHeight="1" x14ac:dyDescent="0.2"/>
    <row r="927" ht="14.1" hidden="1" customHeight="1" x14ac:dyDescent="0.2"/>
    <row r="928" ht="14.1" hidden="1" customHeight="1" x14ac:dyDescent="0.2"/>
    <row r="929" ht="14.1" hidden="1" customHeight="1" x14ac:dyDescent="0.2"/>
    <row r="930" ht="14.1" hidden="1" customHeight="1" x14ac:dyDescent="0.2"/>
    <row r="931" ht="14.1" hidden="1" customHeight="1" x14ac:dyDescent="0.2"/>
    <row r="932" ht="14.1" hidden="1" customHeight="1" x14ac:dyDescent="0.2"/>
    <row r="933" ht="14.1" hidden="1" customHeight="1" x14ac:dyDescent="0.2"/>
    <row r="934" ht="14.1" hidden="1" customHeight="1" x14ac:dyDescent="0.2"/>
    <row r="935" ht="14.1" hidden="1" customHeight="1" x14ac:dyDescent="0.2"/>
    <row r="936" ht="14.1" hidden="1" customHeight="1" x14ac:dyDescent="0.2"/>
    <row r="937" ht="14.1" hidden="1" customHeight="1" x14ac:dyDescent="0.2"/>
    <row r="938" ht="14.1" hidden="1" customHeight="1" x14ac:dyDescent="0.2"/>
    <row r="939" ht="14.1" hidden="1" customHeight="1" x14ac:dyDescent="0.2"/>
    <row r="940" ht="14.1" hidden="1" customHeight="1" x14ac:dyDescent="0.2"/>
    <row r="941" ht="14.1" hidden="1" customHeight="1" x14ac:dyDescent="0.2"/>
    <row r="942" ht="14.1" hidden="1" customHeight="1" x14ac:dyDescent="0.2"/>
    <row r="943" ht="14.1" hidden="1" customHeight="1" x14ac:dyDescent="0.2"/>
    <row r="944" ht="14.1" hidden="1" customHeight="1" x14ac:dyDescent="0.2"/>
    <row r="945" ht="14.1" hidden="1" customHeight="1" x14ac:dyDescent="0.2"/>
    <row r="946" ht="14.1" hidden="1" customHeight="1" x14ac:dyDescent="0.2"/>
    <row r="947" ht="14.1" hidden="1" customHeight="1" x14ac:dyDescent="0.2"/>
    <row r="948" ht="14.1" hidden="1" customHeight="1" x14ac:dyDescent="0.2"/>
    <row r="949" ht="14.1" hidden="1" customHeight="1" x14ac:dyDescent="0.2"/>
    <row r="950" ht="14.1" hidden="1" customHeight="1" x14ac:dyDescent="0.2"/>
    <row r="951" ht="14.1" hidden="1" customHeight="1" x14ac:dyDescent="0.2"/>
    <row r="952" ht="14.1" hidden="1" customHeight="1" x14ac:dyDescent="0.2"/>
    <row r="953" ht="14.1" hidden="1" customHeight="1" x14ac:dyDescent="0.2"/>
    <row r="954" ht="14.1" hidden="1" customHeight="1" x14ac:dyDescent="0.2"/>
    <row r="955" ht="14.1" hidden="1" customHeight="1" x14ac:dyDescent="0.2"/>
    <row r="956" ht="14.1" hidden="1" customHeight="1" x14ac:dyDescent="0.2"/>
    <row r="957" ht="14.1" hidden="1" customHeight="1" x14ac:dyDescent="0.2"/>
    <row r="958" ht="14.1" hidden="1" customHeight="1" x14ac:dyDescent="0.2"/>
    <row r="959" ht="14.1" hidden="1" customHeight="1" x14ac:dyDescent="0.2"/>
    <row r="960" ht="14.1" hidden="1" customHeight="1" x14ac:dyDescent="0.2"/>
    <row r="961" ht="14.1" hidden="1" customHeight="1" x14ac:dyDescent="0.2"/>
    <row r="962" ht="14.1" hidden="1" customHeight="1" x14ac:dyDescent="0.2"/>
    <row r="963" ht="14.1" hidden="1" customHeight="1" x14ac:dyDescent="0.2"/>
    <row r="964" ht="14.1" hidden="1" customHeight="1" x14ac:dyDescent="0.2"/>
    <row r="965" ht="14.1" hidden="1" customHeight="1" x14ac:dyDescent="0.2"/>
    <row r="966" ht="14.1" hidden="1" customHeight="1" x14ac:dyDescent="0.2"/>
    <row r="967" ht="14.1" hidden="1" customHeight="1" x14ac:dyDescent="0.2"/>
    <row r="968" ht="14.1" hidden="1" customHeight="1" x14ac:dyDescent="0.2"/>
    <row r="969" ht="14.1" hidden="1" customHeight="1" x14ac:dyDescent="0.2"/>
    <row r="970" ht="14.1" hidden="1" customHeight="1" x14ac:dyDescent="0.2"/>
    <row r="971" ht="14.1" hidden="1" customHeight="1" x14ac:dyDescent="0.2"/>
    <row r="972" ht="14.1" hidden="1" customHeight="1" x14ac:dyDescent="0.2"/>
    <row r="973" ht="14.1" hidden="1" customHeight="1" x14ac:dyDescent="0.2"/>
    <row r="974" ht="14.1" hidden="1" customHeight="1" x14ac:dyDescent="0.2"/>
    <row r="975" ht="14.1" hidden="1" customHeight="1" x14ac:dyDescent="0.2"/>
  </sheetData>
  <sheetProtection algorithmName="SHA-512" hashValue="y5ADteSgOBk6xR+BTVg7qL8frPPZX8KFN2iwXH+mHPSA7UFA1kbvuukuaEtvTXk8UfXbt1GfxzdULh4NKPVwuA==" saltValue="eRtUNQ057SjtfDo97AM+tw==" spinCount="100000" sheet="1" objects="1" scenarios="1" selectLockedCells="1" autoFilter="0"/>
  <mergeCells count="22">
    <mergeCell ref="H5:J5"/>
    <mergeCell ref="B6:C6"/>
    <mergeCell ref="E6:F6"/>
    <mergeCell ref="H6:J6"/>
    <mergeCell ref="B11:C11"/>
    <mergeCell ref="E11:F11"/>
    <mergeCell ref="H7:J7"/>
    <mergeCell ref="B9:E9"/>
    <mergeCell ref="E10:F10"/>
    <mergeCell ref="B2:G2"/>
    <mergeCell ref="B5:C5"/>
    <mergeCell ref="E5:F5"/>
    <mergeCell ref="B7:C7"/>
    <mergeCell ref="E7:F7"/>
    <mergeCell ref="B76:I76"/>
    <mergeCell ref="F77:H77"/>
    <mergeCell ref="B21:E21"/>
    <mergeCell ref="E22:F22"/>
    <mergeCell ref="B32:F32"/>
    <mergeCell ref="E43:G43"/>
    <mergeCell ref="H43:K43"/>
    <mergeCell ref="B69:E69"/>
  </mergeCells>
  <conditionalFormatting sqref="B26:K27 B29:K30 B17:K17 B24:K24 B35:K35">
    <cfRule type="expression" dxfId="39" priority="8">
      <formula>OR(_Dach_Typ="Fdg",_Dach_Typ="Fd")</formula>
    </cfRule>
  </conditionalFormatting>
  <conditionalFormatting sqref="B39:K39">
    <cfRule type="expression" dxfId="38" priority="5">
      <formula>AND(ISNUMBER($E$38),OR($E$27&gt;0,$E$30&gt;0))</formula>
    </cfRule>
  </conditionalFormatting>
  <conditionalFormatting sqref="E17">
    <cfRule type="expression" dxfId="37" priority="2">
      <formula>OR(_Dach_Typ="Fd",_Dach_Typ="Fdg")</formula>
    </cfRule>
  </conditionalFormatting>
  <conditionalFormatting sqref="E39">
    <cfRule type="expression" dxfId="36" priority="6">
      <formula>AND(ISNUMBER($E$38),OR($E$27&gt;0,$E$30&gt;0))</formula>
    </cfRule>
  </conditionalFormatting>
  <conditionalFormatting sqref="G26 G29">
    <cfRule type="expression" dxfId="35" priority="7">
      <formula>OR(_Dach_Typ="Fdg",_Dach_Typ="Fd")</formula>
    </cfRule>
  </conditionalFormatting>
  <conditionalFormatting sqref="G40">
    <cfRule type="expression" dxfId="34" priority="3">
      <formula>$E$40=0</formula>
    </cfRule>
  </conditionalFormatting>
  <conditionalFormatting sqref="G41">
    <cfRule type="expression" dxfId="33" priority="4">
      <formula>$E$41=0</formula>
    </cfRule>
  </conditionalFormatting>
  <conditionalFormatting sqref="G26:I26 G29:I29">
    <cfRule type="expression" dxfId="32" priority="1">
      <formula>$G26&gt;$E25</formula>
    </cfRule>
  </conditionalFormatting>
  <dataValidations count="6">
    <dataValidation type="list" allowBlank="1" showInputMessage="1" showErrorMessage="1" sqref="E16:E17" xr:uid="{A5CEBD12-123C-4979-B752-FA10E3AFE27C}">
      <formula1>_Liste_Blendung</formula1>
    </dataValidation>
    <dataValidation type="list" allowBlank="1" showInputMessage="1" showErrorMessage="1" sqref="E11" xr:uid="{F2512C82-8074-4B32-B5B8-B02E8DB49FBD}">
      <formula1>_Liste_Dachtypen</formula1>
    </dataValidation>
    <dataValidation type="list" allowBlank="1" showInputMessage="1" showErrorMessage="1" sqref="E22" xr:uid="{409AEC83-4600-4D31-A0FE-D52AE6154262}">
      <formula1>$G$22:$H$22</formula1>
    </dataValidation>
    <dataValidation type="custom" allowBlank="1" showErrorMessage="1" errorTitle="Falsche Eingabe" error="Feld nur für Dachtyp Flachdach / Flachdach begrünt ausfüllen_x000a__x000a_Diese Zahl muss kleiner oder gleich wie die Stückzahl der technischen Vollbelegung sein." promptTitle="Nur bei Flachdach erforderlich" sqref="G26" xr:uid="{1C3F4926-03FD-4254-A530-1B547892C0A4}">
      <formula1>AND(G26&lt;=E25,G26&gt;0)</formula1>
    </dataValidation>
    <dataValidation type="custom" allowBlank="1" showInputMessage="1" showErrorMessage="1" errorTitle="Unzulässige Eingabe" error="Der Wert muss kleiner der Stückzahl der technischen Vollbelegung sein." sqref="E28" xr:uid="{C6DD87D2-EDEF-4744-9C62-832F9E56565B}">
      <formula1>E28&lt;=E25</formula1>
    </dataValidation>
    <dataValidation type="custom" allowBlank="1" showInputMessage="1" showErrorMessage="1" errorTitle="Falsche Eingabe" error="Feld nur für Dachtyp Flachdach / Flachdach begrünt ausfüllen_x000a__x000a_Diese Zahl muss kleiner oder gleich wie die Stückzahl vom gestzlichen Minimum sein." sqref="G29" xr:uid="{A66A2618-2AA8-4EC7-9E83-F131B608F952}">
      <formula1>AND(G29&lt;=E28,G29&gt;0)</formula1>
    </dataValidation>
  </dataValidations>
  <pageMargins left="0.55118110236220474" right="0.51181102362204722" top="0.74803149606299213" bottom="0.70866141732283472" header="0.31496062992125984" footer="0.31496062992125984"/>
  <pageSetup paperSize="9" scale="65" fitToHeight="0" orientation="portrait" r:id="rId1"/>
  <headerFooter>
    <oddHeader xml:space="preserve">&amp;L&amp;8         Planungshilfe Nachweis wirtschaftliche Unverhältnismässigkeit&amp;R&amp;8Stadt Luzern </oddHeader>
    <oddFooter xml:space="preserve">&amp;L&amp;8         &amp;P | &amp;N&amp;R&amp;8Nächste Revision 12.12.2026 </oddFooter>
    <firstHeader>&amp;L&amp;G</first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F83B5-A217-436E-B45E-A0E4450AE4BC}">
  <sheetPr codeName="Tabelle9">
    <pageSetUpPr fitToPage="1"/>
  </sheetPr>
  <dimension ref="A1:R975"/>
  <sheetViews>
    <sheetView showGridLines="0" view="pageLayout" topLeftCell="A10" zoomScaleNormal="100" zoomScaleSheetLayoutView="100" workbookViewId="0">
      <selection activeCell="E10" sqref="E10:F10"/>
    </sheetView>
  </sheetViews>
  <sheetFormatPr baseColWidth="10" defaultColWidth="0" defaultRowHeight="0" customHeight="1" zeroHeight="1" x14ac:dyDescent="0.2"/>
  <cols>
    <col min="1" max="1" width="3.5703125" style="257" customWidth="1"/>
    <col min="2" max="2" width="8.28515625" customWidth="1"/>
    <col min="3" max="3" width="25.5703125" customWidth="1"/>
    <col min="4" max="4" width="24.140625" style="14" hidden="1" customWidth="1"/>
    <col min="5" max="5" width="15" customWidth="1"/>
    <col min="6" max="6" width="17.5703125" customWidth="1"/>
    <col min="7" max="8" width="14.28515625" customWidth="1"/>
    <col min="9" max="10" width="11.42578125" customWidth="1"/>
    <col min="11" max="11" width="18.42578125" customWidth="1"/>
    <col min="12" max="12" width="6" customWidth="1"/>
    <col min="13" max="13" width="34.28515625" hidden="1" customWidth="1"/>
    <col min="14" max="18" width="0" hidden="1" customWidth="1"/>
    <col min="19" max="16384" width="11.42578125" hidden="1"/>
  </cols>
  <sheetData>
    <row r="1" spans="1:18" ht="12.75" hidden="1" x14ac:dyDescent="0.2">
      <c r="A1" s="262"/>
      <c r="B1" s="14" t="str">
        <f ca="1">MID(CELL("dateiname",B2),SEARCH("]",CELL("dateiname",B2))+1,31)</f>
        <v>Dachfläche (3)</v>
      </c>
      <c r="C1" s="14"/>
      <c r="E1" s="14"/>
      <c r="F1" s="14"/>
      <c r="G1" s="14"/>
      <c r="H1" s="14"/>
      <c r="I1" s="14"/>
      <c r="J1" s="14"/>
      <c r="K1" s="14"/>
    </row>
    <row r="2" spans="1:18" s="12" customFormat="1" ht="21" customHeight="1" x14ac:dyDescent="0.3">
      <c r="A2" s="259"/>
      <c r="B2" s="713" t="str">
        <f t="shared" ref="B2" ca="1" si="0">"Zusammenstellung Kennwerte "&amp;B1</f>
        <v>Zusammenstellung Kennwerte Dachfläche (3)</v>
      </c>
      <c r="C2" s="713"/>
      <c r="D2" s="713"/>
      <c r="E2" s="713"/>
      <c r="F2" s="713"/>
      <c r="G2" s="713"/>
      <c r="N2"/>
      <c r="O2"/>
      <c r="P2"/>
      <c r="Q2"/>
      <c r="R2"/>
    </row>
    <row r="3" spans="1:18" ht="12.75" x14ac:dyDescent="0.2"/>
    <row r="4" spans="1:18" s="12" customFormat="1" ht="20.25" x14ac:dyDescent="0.3">
      <c r="A4" s="259"/>
      <c r="B4" s="286" t="s">
        <v>26</v>
      </c>
      <c r="D4" s="150"/>
      <c r="N4"/>
      <c r="O4"/>
      <c r="P4"/>
      <c r="Q4"/>
      <c r="R4"/>
    </row>
    <row r="5" spans="1:18" s="16" customFormat="1" ht="19.899999999999999" customHeight="1" x14ac:dyDescent="0.25">
      <c r="A5" s="260"/>
      <c r="B5" s="684" t="str">
        <f>'3 Bericht'!B2</f>
        <v>Projektname</v>
      </c>
      <c r="C5" s="685"/>
      <c r="D5" s="509"/>
      <c r="E5" s="714">
        <f>_Projektname</f>
        <v>0</v>
      </c>
      <c r="F5" s="715"/>
      <c r="G5" s="575"/>
      <c r="H5" s="706" t="str">
        <f>'3 Bericht'!J2</f>
        <v>Netzversorger</v>
      </c>
      <c r="I5" s="707"/>
      <c r="J5" s="707"/>
      <c r="K5" s="510">
        <f>_Netzversorger</f>
        <v>0</v>
      </c>
    </row>
    <row r="6" spans="1:18" s="16" customFormat="1" ht="19.899999999999999" customHeight="1" x14ac:dyDescent="0.25">
      <c r="A6" s="260"/>
      <c r="B6" s="686" t="str">
        <f>'3 Bericht'!B3</f>
        <v>Adresse</v>
      </c>
      <c r="C6" s="687"/>
      <c r="D6" s="511"/>
      <c r="E6" s="694">
        <f>_Adresse</f>
        <v>0</v>
      </c>
      <c r="F6" s="695"/>
      <c r="G6" s="575"/>
      <c r="H6" s="708" t="str">
        <f>'3 Bericht'!J3</f>
        <v>Fertigstellung (geplant)</v>
      </c>
      <c r="I6" s="709"/>
      <c r="J6" s="709"/>
      <c r="K6" s="512">
        <f>_Datum_IBS</f>
        <v>0</v>
      </c>
    </row>
    <row r="7" spans="1:18" s="16" customFormat="1" ht="19.899999999999999" customHeight="1" x14ac:dyDescent="0.25">
      <c r="A7" s="260"/>
      <c r="B7" s="686" t="str">
        <f>'3 Bericht'!B4</f>
        <v>PLZ Ort</v>
      </c>
      <c r="C7" s="687"/>
      <c r="D7" s="511"/>
      <c r="E7" s="694">
        <f>_PLZ</f>
        <v>0</v>
      </c>
      <c r="F7" s="695"/>
      <c r="G7" s="575"/>
      <c r="H7" s="708" t="str">
        <f>'3 Bericht'!J5</f>
        <v>MWSt. pflichtig</v>
      </c>
      <c r="I7" s="709"/>
      <c r="J7" s="709"/>
      <c r="K7" s="513" t="str">
        <f>'3 Bericht'!M5</f>
        <v>Nein</v>
      </c>
    </row>
    <row r="8" spans="1:18" ht="12.75" x14ac:dyDescent="0.2"/>
    <row r="9" spans="1:18" s="12" customFormat="1" ht="20.25" x14ac:dyDescent="0.3">
      <c r="A9" s="259"/>
      <c r="B9" s="679" t="s">
        <v>66</v>
      </c>
      <c r="C9" s="679"/>
      <c r="D9" s="679"/>
      <c r="E9" s="679"/>
      <c r="M9" s="16"/>
      <c r="N9"/>
      <c r="O9"/>
      <c r="P9"/>
      <c r="Q9"/>
      <c r="R9"/>
    </row>
    <row r="10" spans="1:18" s="16" customFormat="1" ht="19.899999999999999" customHeight="1" x14ac:dyDescent="0.25">
      <c r="A10" s="260"/>
      <c r="B10" s="303" t="s">
        <v>80</v>
      </c>
      <c r="C10" s="303"/>
      <c r="D10" s="516" t="s">
        <v>113</v>
      </c>
      <c r="E10" s="716"/>
      <c r="F10" s="716"/>
      <c r="G10" s="517"/>
      <c r="H10" s="303"/>
      <c r="I10" s="303"/>
      <c r="J10" s="303"/>
      <c r="K10" s="303"/>
    </row>
    <row r="11" spans="1:18" s="16" customFormat="1" ht="19.899999999999999" customHeight="1" x14ac:dyDescent="0.25">
      <c r="A11" s="260"/>
      <c r="B11" s="710" t="s">
        <v>251</v>
      </c>
      <c r="C11" s="710"/>
      <c r="D11" s="516" t="s">
        <v>418</v>
      </c>
      <c r="E11" s="711"/>
      <c r="F11" s="712"/>
      <c r="G11" s="303" t="s">
        <v>541</v>
      </c>
      <c r="H11" s="303"/>
      <c r="I11" s="303"/>
      <c r="J11" s="303"/>
      <c r="K11" s="303"/>
    </row>
    <row r="12" spans="1:18" s="21" customFormat="1" ht="19.899999999999999" hidden="1" customHeight="1" x14ac:dyDescent="0.25">
      <c r="A12" s="261"/>
      <c r="B12" s="518"/>
      <c r="C12" s="518"/>
      <c r="D12" s="516" t="s">
        <v>270</v>
      </c>
      <c r="E12" s="519" t="str">
        <f>IFERROR(VLOOKUP(E11,Basisdaten!B151:C154,2,FALSE),"")</f>
        <v/>
      </c>
      <c r="F12" s="520"/>
      <c r="G12" s="516"/>
      <c r="H12" s="516"/>
      <c r="I12" s="516"/>
      <c r="J12" s="516"/>
      <c r="K12" s="516"/>
      <c r="L12" s="16"/>
    </row>
    <row r="13" spans="1:18" s="16" customFormat="1" ht="19.899999999999999" customHeight="1" x14ac:dyDescent="0.25">
      <c r="A13" s="260"/>
      <c r="B13" s="303" t="s">
        <v>278</v>
      </c>
      <c r="C13" s="303"/>
      <c r="D13" s="516" t="s">
        <v>100</v>
      </c>
      <c r="E13" s="521"/>
      <c r="F13" s="522" t="s">
        <v>542</v>
      </c>
      <c r="G13" s="303" t="s">
        <v>279</v>
      </c>
      <c r="H13" s="303"/>
      <c r="I13" s="303"/>
      <c r="J13" s="303"/>
      <c r="K13" s="303"/>
    </row>
    <row r="14" spans="1:18" s="16" customFormat="1" ht="19.899999999999999" customHeight="1" x14ac:dyDescent="0.25">
      <c r="A14" s="260"/>
      <c r="B14" s="297" t="str">
        <f>IF(OR(_Dach_Typ="Fdg",_Dach_Typ="Fd"),"Hauptausrichtung","Ausrichtung")</f>
        <v>Ausrichtung</v>
      </c>
      <c r="C14" s="297"/>
      <c r="D14" s="437" t="s">
        <v>34</v>
      </c>
      <c r="E14" s="523"/>
      <c r="F14" s="524" t="s">
        <v>46</v>
      </c>
      <c r="G14" s="297" t="s">
        <v>58</v>
      </c>
      <c r="H14" s="297"/>
      <c r="I14" s="297"/>
      <c r="J14" s="297"/>
      <c r="K14" s="297"/>
    </row>
    <row r="15" spans="1:18" s="16" customFormat="1" ht="19.899999999999999" customHeight="1" x14ac:dyDescent="0.25">
      <c r="A15" s="260"/>
      <c r="B15" s="297" t="str">
        <f>IF(OR(_Dach_Typ="Fdg",_Dach_Typ="Fd"),"Modulneigung","Dachneigung")</f>
        <v>Dachneigung</v>
      </c>
      <c r="C15" s="297"/>
      <c r="D15" s="437" t="s">
        <v>35</v>
      </c>
      <c r="E15" s="523"/>
      <c r="F15" s="524" t="s">
        <v>46</v>
      </c>
      <c r="G15" s="297" t="s">
        <v>59</v>
      </c>
      <c r="H15" s="297"/>
      <c r="I15" s="297"/>
      <c r="J15" s="297"/>
      <c r="K15" s="297"/>
    </row>
    <row r="16" spans="1:18" s="16" customFormat="1" ht="19.899999999999999" customHeight="1" x14ac:dyDescent="0.25">
      <c r="A16" s="260"/>
      <c r="B16" s="297" t="str">
        <f>IF(OR(_Dach_Typ="Fdg",_Dach_Typ="Fd"),"Blendung in Hauptausrichtung","Blendung")</f>
        <v>Blendung</v>
      </c>
      <c r="C16" s="297"/>
      <c r="D16" s="437" t="s">
        <v>305</v>
      </c>
      <c r="E16" s="525"/>
      <c r="F16" s="524"/>
      <c r="G16" s="297" t="str">
        <f>IFERROR(VLOOKUP(E16,_Reflektionstyp,2,FALSE),"Abklärung erforderlich")</f>
        <v>Abklärung erforderlich</v>
      </c>
      <c r="H16" s="297"/>
      <c r="I16" s="297"/>
      <c r="J16" s="297"/>
      <c r="K16" s="297"/>
      <c r="M16" s="218"/>
    </row>
    <row r="17" spans="1:18" s="16" customFormat="1" ht="19.899999999999999" customHeight="1" x14ac:dyDescent="0.25">
      <c r="A17" s="260"/>
      <c r="B17" s="526" t="s">
        <v>307</v>
      </c>
      <c r="C17" s="527"/>
      <c r="D17" s="528" t="s">
        <v>306</v>
      </c>
      <c r="E17" s="529" t="s">
        <v>274</v>
      </c>
      <c r="F17" s="530"/>
      <c r="G17" s="527" t="str">
        <f>IFERROR(VLOOKUP(E17,_Reflektionstyp,2,FALSE),"Abklärung erforderlich")</f>
        <v>Reflektionen klären! (unkritisch / kritisch)</v>
      </c>
      <c r="H17" s="527"/>
      <c r="I17" s="527"/>
      <c r="J17" s="527"/>
      <c r="K17" s="527"/>
    </row>
    <row r="18" spans="1:18" s="14" customFormat="1" ht="15" hidden="1" customHeight="1" x14ac:dyDescent="0.2">
      <c r="A18" s="262"/>
      <c r="C18" s="14" t="s">
        <v>65</v>
      </c>
      <c r="E18" s="14">
        <f>RADIANS(E14)</f>
        <v>0</v>
      </c>
      <c r="L18"/>
    </row>
    <row r="19" spans="1:18" s="14" customFormat="1" ht="12.75" hidden="1" x14ac:dyDescent="0.2">
      <c r="A19" s="262"/>
      <c r="C19" s="14" t="s">
        <v>62</v>
      </c>
      <c r="E19" s="14">
        <f>IF(_Dach_Typ=INDEX(_Liste_Dachtypen,1),0,-RADIANS(E15))</f>
        <v>0</v>
      </c>
      <c r="L19"/>
    </row>
    <row r="20" spans="1:18" ht="12.75" x14ac:dyDescent="0.2"/>
    <row r="21" spans="1:18" s="12" customFormat="1" ht="20.25" x14ac:dyDescent="0.3">
      <c r="A21" s="259"/>
      <c r="B21" s="679" t="s">
        <v>42</v>
      </c>
      <c r="C21" s="679"/>
      <c r="D21" s="679"/>
      <c r="E21" s="679"/>
      <c r="N21"/>
      <c r="O21"/>
      <c r="P21"/>
      <c r="Q21"/>
      <c r="R21"/>
    </row>
    <row r="22" spans="1:18" s="16" customFormat="1" ht="19.899999999999999" customHeight="1" x14ac:dyDescent="0.25">
      <c r="A22" s="260"/>
      <c r="B22" s="303" t="s">
        <v>43</v>
      </c>
      <c r="C22" s="303"/>
      <c r="D22" s="516" t="s">
        <v>67</v>
      </c>
      <c r="E22" s="718"/>
      <c r="F22" s="718"/>
      <c r="G22" s="303" t="s">
        <v>84</v>
      </c>
      <c r="H22" s="303" t="s">
        <v>85</v>
      </c>
      <c r="I22" s="303"/>
      <c r="J22" s="303"/>
      <c r="K22" s="303"/>
    </row>
    <row r="23" spans="1:18" s="16" customFormat="1" ht="19.899999999999999" customHeight="1" x14ac:dyDescent="0.25">
      <c r="A23" s="260"/>
      <c r="B23" s="303" t="str">
        <f>IF(OR(_Dach_Typ="Fdg",_Dach_Typ="Fd"),"Modultyp für Hauptausrichtung","Modultyp")</f>
        <v>Modultyp</v>
      </c>
      <c r="C23" s="303"/>
      <c r="D23" s="516" t="s">
        <v>317</v>
      </c>
      <c r="E23" s="504" t="str">
        <f>IF($E16="krit","Blendarm","Standard")</f>
        <v>Standard</v>
      </c>
      <c r="F23" s="531">
        <f>IF(E16="krit",_Modulleistung_Blendarm,_Modulleistung_Standard)</f>
        <v>475</v>
      </c>
      <c r="G23" s="303" t="s">
        <v>50</v>
      </c>
      <c r="H23" s="303"/>
      <c r="I23" s="303"/>
      <c r="J23" s="303"/>
      <c r="K23" s="303"/>
    </row>
    <row r="24" spans="1:18" s="16" customFormat="1" ht="19.899999999999999" customHeight="1" x14ac:dyDescent="0.25">
      <c r="A24" s="260"/>
      <c r="B24" s="527" t="s">
        <v>308</v>
      </c>
      <c r="C24" s="527"/>
      <c r="D24" s="528" t="s">
        <v>318</v>
      </c>
      <c r="E24" s="530" t="str">
        <f>IF($E17="krit","Blendarm","Standard")</f>
        <v>Standard</v>
      </c>
      <c r="F24" s="532" cm="1">
        <f t="array" ref="F24">_xlfn.IFS(_Dach_Typ="Sd",0,_Dach_Typ="Pp",0,TRUE,IF(E17="krit",_Modulleistung_Blendarm,_Modulleistung_Standard))</f>
        <v>475</v>
      </c>
      <c r="G24" s="527" t="s">
        <v>50</v>
      </c>
      <c r="H24" s="527"/>
      <c r="I24" s="527"/>
      <c r="J24" s="527"/>
      <c r="K24" s="527"/>
    </row>
    <row r="25" spans="1:18" s="16" customFormat="1" ht="19.5" customHeight="1" x14ac:dyDescent="0.25">
      <c r="A25" s="260"/>
      <c r="B25" s="533" t="s">
        <v>549</v>
      </c>
      <c r="C25" s="533"/>
      <c r="D25" s="455"/>
      <c r="E25" s="534"/>
      <c r="F25" s="535" t="str">
        <f>IF(OR(_Dach_Typ="Sd",_Dach_Typ="Pp"),"Stk. ("&amp;E23&amp;")","")</f>
        <v/>
      </c>
      <c r="G25" s="533" t="s">
        <v>551</v>
      </c>
      <c r="H25" s="533"/>
      <c r="I25" s="533"/>
      <c r="J25" s="533"/>
      <c r="K25" s="533"/>
    </row>
    <row r="26" spans="1:18" s="151" customFormat="1" ht="19.5" customHeight="1" x14ac:dyDescent="0.2">
      <c r="A26" s="263"/>
      <c r="B26" s="527" t="str">
        <f>"Davon in Hauptausrichtung: "&amp;E14&amp;"°"</f>
        <v>Davon in Hauptausrichtung: °</v>
      </c>
      <c r="C26" s="527"/>
      <c r="D26" s="528" t="s">
        <v>319</v>
      </c>
      <c r="E26" s="536">
        <f>IF(OR(_Dach_Typ="Sd",_Dach_Typ="Pp"),E25,
IF(AND(OR(_Dach_Typ="Fd",_Dach_Typ="Fdg"),OR(ISBLANK(G26),G26&gt;E25)),ROUNDUP(E25/2,0),G26))</f>
        <v>0</v>
      </c>
      <c r="F26" s="530" t="str">
        <f>"Stk. ("&amp;E23&amp;")"</f>
        <v>Stk. (Standard)</v>
      </c>
      <c r="G26" s="537"/>
      <c r="H26" s="530" t="s">
        <v>82</v>
      </c>
      <c r="I26" s="527" t="str">
        <f>IF(G26&gt;E25,"ungültiger Wert","Manuelle Eingabe")</f>
        <v>Manuelle Eingabe</v>
      </c>
      <c r="J26" s="527"/>
      <c r="K26" s="527"/>
      <c r="M26" s="155"/>
    </row>
    <row r="27" spans="1:18" s="151" customFormat="1" ht="19.5" customHeight="1" x14ac:dyDescent="0.2">
      <c r="A27" s="263"/>
      <c r="B27" s="538" t="str">
        <f>"und in Zweitausrichtung: "&amp;E14-180*SIGN(E14)&amp;"°"</f>
        <v>und in Zweitausrichtung: 0°</v>
      </c>
      <c r="C27" s="538"/>
      <c r="D27" s="539" t="s">
        <v>320</v>
      </c>
      <c r="E27" s="540">
        <f>E25-E26</f>
        <v>0</v>
      </c>
      <c r="F27" s="541" t="str">
        <f>"Stk. ("&amp;E24&amp;")"</f>
        <v>Stk. (Standard)</v>
      </c>
      <c r="G27" s="542"/>
      <c r="H27" s="538"/>
      <c r="I27" s="538"/>
      <c r="J27" s="538"/>
      <c r="K27" s="538"/>
      <c r="M27" s="155"/>
    </row>
    <row r="28" spans="1:18" s="16" customFormat="1" ht="19.5" customHeight="1" x14ac:dyDescent="0.25">
      <c r="A28" s="260"/>
      <c r="B28" s="303" t="s">
        <v>550</v>
      </c>
      <c r="C28" s="303"/>
      <c r="D28" s="516"/>
      <c r="E28" s="543">
        <f>E25</f>
        <v>0</v>
      </c>
      <c r="F28" s="535" t="str">
        <f>IF(OR(_Dach_Typ="Sd",_Dach_Typ="Pp"),"Stk. ("&amp;E23&amp;")","")</f>
        <v/>
      </c>
      <c r="G28" s="303" t="s">
        <v>552</v>
      </c>
      <c r="H28" s="303"/>
      <c r="I28" s="303"/>
      <c r="J28" s="303"/>
      <c r="K28" s="303"/>
    </row>
    <row r="29" spans="1:18" s="16" customFormat="1" ht="19.5" customHeight="1" x14ac:dyDescent="0.25">
      <c r="A29" s="260"/>
      <c r="B29" s="527" t="str">
        <f>"Davon in Hauptausrichtung: "&amp;E14&amp;"°"</f>
        <v>Davon in Hauptausrichtung: °</v>
      </c>
      <c r="C29" s="527"/>
      <c r="D29" s="528" t="s">
        <v>321</v>
      </c>
      <c r="E29" s="536">
        <f>IF(OR(_Dach_Typ="Sd",_Dach_Typ="Pp"),E28,
IF(AND(OR(_Dach_Typ="Fd",_Dach_Typ="Fdg"),OR(ISBLANK(G29),G29&gt;E28)),ROUNDUP(E28/2,0),G29))</f>
        <v>0</v>
      </c>
      <c r="F29" s="530" t="str">
        <f>"Stk. ("&amp;E23&amp;")"</f>
        <v>Stk. (Standard)</v>
      </c>
      <c r="G29" s="537"/>
      <c r="H29" s="530" t="s">
        <v>82</v>
      </c>
      <c r="I29" s="527" t="str">
        <f>IF(G29&gt;E28,"ungültiger Wert","Manuelle Eingabe")</f>
        <v>Manuelle Eingabe</v>
      </c>
      <c r="J29" s="527"/>
      <c r="K29" s="527"/>
    </row>
    <row r="30" spans="1:18" s="16" customFormat="1" ht="19.5" customHeight="1" x14ac:dyDescent="0.25">
      <c r="A30" s="260"/>
      <c r="B30" s="527" t="str">
        <f>"und in Zweitausrichtung: "&amp;E14-180*SIGN(E14)&amp;"°"</f>
        <v>und in Zweitausrichtung: 0°</v>
      </c>
      <c r="C30" s="527"/>
      <c r="D30" s="528" t="s">
        <v>322</v>
      </c>
      <c r="E30" s="536">
        <f>E28-E29</f>
        <v>0</v>
      </c>
      <c r="F30" s="530" t="str">
        <f>"Stk. ("&amp;E24&amp;")"</f>
        <v>Stk. (Standard)</v>
      </c>
      <c r="G30" s="544"/>
      <c r="H30" s="527"/>
      <c r="I30" s="527"/>
      <c r="J30" s="527"/>
      <c r="K30" s="527"/>
    </row>
    <row r="31" spans="1:18" ht="12.75" x14ac:dyDescent="0.2"/>
    <row r="32" spans="1:18" s="12" customFormat="1" ht="20.25" x14ac:dyDescent="0.3">
      <c r="A32" s="259"/>
      <c r="B32" s="679" t="s">
        <v>179</v>
      </c>
      <c r="C32" s="679"/>
      <c r="D32" s="679"/>
      <c r="E32" s="679"/>
      <c r="F32" s="679"/>
      <c r="N32"/>
      <c r="O32"/>
      <c r="P32"/>
      <c r="Q32"/>
      <c r="R32"/>
    </row>
    <row r="33" spans="1:18" s="16" customFormat="1" ht="19.899999999999999" customHeight="1" x14ac:dyDescent="0.3">
      <c r="A33" s="260"/>
      <c r="B33" s="303" t="s">
        <v>543</v>
      </c>
      <c r="C33" s="303" t="s">
        <v>288</v>
      </c>
      <c r="D33" s="516"/>
      <c r="E33" s="545">
        <f>_Spez_Ertrag_Standort</f>
        <v>900</v>
      </c>
      <c r="F33" s="522" t="s">
        <v>97</v>
      </c>
      <c r="G33" s="303" t="str">
        <f>"Spezifischer Ertrag am Standort bei horizontaler Montage"</f>
        <v>Spezifischer Ertrag am Standort bei horizontaler Montage</v>
      </c>
      <c r="H33" s="303"/>
      <c r="I33" s="303"/>
      <c r="J33" s="303"/>
      <c r="K33" s="303"/>
    </row>
    <row r="34" spans="1:18" s="16" customFormat="1" ht="19.5" customHeight="1" x14ac:dyDescent="0.3">
      <c r="A34" s="260"/>
      <c r="B34" s="297" t="s">
        <v>544</v>
      </c>
      <c r="C34" s="297" t="str">
        <f>IF(OR(_Dach_Typ="Fdg",_Dach_Typ="Fd"),"Hauptausrichtung","Ausrichtung")</f>
        <v>Ausrichtung</v>
      </c>
      <c r="D34" s="437" t="s">
        <v>323</v>
      </c>
      <c r="E34" s="546" cm="1">
        <f t="array" ref="E34">(INDEX(_Faktor_Ausrichtung,ROUND(((E15/_RasterNeigung))+1,0),ROUND((((E14)/_RasterAzimut))+180/_RasterAzimut+1,0),1))</f>
        <v>1</v>
      </c>
      <c r="F34" s="524"/>
      <c r="G34" s="297" t="str">
        <f>"Abweichung durch "&amp;C34</f>
        <v>Abweichung durch Ausrichtung</v>
      </c>
      <c r="H34" s="297"/>
      <c r="I34" s="297"/>
      <c r="J34" s="297"/>
      <c r="K34" s="297"/>
      <c r="M34" s="156"/>
    </row>
    <row r="35" spans="1:18" s="16" customFormat="1" ht="19.5" customHeight="1" x14ac:dyDescent="0.3">
      <c r="A35" s="260"/>
      <c r="B35" s="527" t="s">
        <v>545</v>
      </c>
      <c r="C35" s="527" t="s">
        <v>289</v>
      </c>
      <c r="D35" s="528" t="s">
        <v>283</v>
      </c>
      <c r="E35" s="547" cm="1">
        <f t="array" ref="E35">INDEX(_Faktor_Ausrichtung,ROUND(((E15/_RasterNeigung))+1,0),ROUND((((E14-180*SIGN(E14))/_RasterAzimut))+180/_RasterAzimut+1,0),1)</f>
        <v>1</v>
      </c>
      <c r="F35" s="530"/>
      <c r="G35" s="536" t="str">
        <f>"Abweichung durch "&amp;C35</f>
        <v>Abweichung durch Zweitausrichtung</v>
      </c>
      <c r="H35" s="530"/>
      <c r="I35" s="527"/>
      <c r="J35" s="527"/>
      <c r="K35" s="527"/>
    </row>
    <row r="36" spans="1:18" s="21" customFormat="1" ht="19.899999999999999" hidden="1" customHeight="1" x14ac:dyDescent="0.3">
      <c r="A36" s="261"/>
      <c r="B36" s="437" t="s">
        <v>543</v>
      </c>
      <c r="C36" s="437" t="s">
        <v>290</v>
      </c>
      <c r="D36" s="437"/>
      <c r="E36" s="548" t="str">
        <f>IFERROR(E33*((E34*E26)+(E35*E27))/(E26+E27),"")</f>
        <v/>
      </c>
      <c r="F36" s="549" t="s">
        <v>97</v>
      </c>
      <c r="G36" s="437" t="s">
        <v>95</v>
      </c>
      <c r="H36" s="437"/>
      <c r="I36" s="437"/>
      <c r="J36" s="437"/>
      <c r="K36" s="437"/>
      <c r="L36" s="16"/>
    </row>
    <row r="37" spans="1:18" s="21" customFormat="1" ht="19.899999999999999" hidden="1" customHeight="1" x14ac:dyDescent="0.3">
      <c r="A37" s="261"/>
      <c r="B37" s="437" t="s">
        <v>543</v>
      </c>
      <c r="C37" s="437" t="s">
        <v>291</v>
      </c>
      <c r="D37" s="437"/>
      <c r="E37" s="548" t="str">
        <f>IFERROR(E33*((E34*E29)+(E35*E30))/(E29+E30),"")</f>
        <v/>
      </c>
      <c r="F37" s="549" t="s">
        <v>97</v>
      </c>
      <c r="G37" s="437" t="s">
        <v>95</v>
      </c>
      <c r="H37" s="437"/>
      <c r="I37" s="437"/>
      <c r="J37" s="437"/>
      <c r="K37" s="437"/>
      <c r="L37" s="16"/>
    </row>
    <row r="38" spans="1:18" s="16" customFormat="1" ht="19.5" customHeight="1" x14ac:dyDescent="0.3">
      <c r="A38" s="260"/>
      <c r="B38" s="297" t="s">
        <v>543</v>
      </c>
      <c r="C38" s="297" t="str">
        <f>C34</f>
        <v>Ausrichtung</v>
      </c>
      <c r="D38" s="437" t="s">
        <v>332</v>
      </c>
      <c r="E38" s="550"/>
      <c r="F38" s="524" t="s">
        <v>97</v>
      </c>
      <c r="G38" s="297" t="s">
        <v>96</v>
      </c>
      <c r="H38" s="297"/>
      <c r="I38" s="297"/>
      <c r="J38" s="297"/>
      <c r="K38" s="297"/>
      <c r="M38" s="156"/>
    </row>
    <row r="39" spans="1:18" s="16" customFormat="1" ht="19.5" customHeight="1" x14ac:dyDescent="0.3">
      <c r="A39" s="260"/>
      <c r="B39" s="551" t="s">
        <v>546</v>
      </c>
      <c r="C39" s="551" t="s">
        <v>289</v>
      </c>
      <c r="D39" s="552"/>
      <c r="E39" s="553"/>
      <c r="F39" s="554" t="s">
        <v>97</v>
      </c>
      <c r="G39" s="551" t="s">
        <v>96</v>
      </c>
      <c r="H39" s="551"/>
      <c r="I39" s="551"/>
      <c r="J39" s="551"/>
      <c r="K39" s="551"/>
    </row>
    <row r="40" spans="1:18" s="16" customFormat="1" ht="19.899999999999999" customHeight="1" x14ac:dyDescent="0.3">
      <c r="A40" s="260"/>
      <c r="B40" s="297" t="s">
        <v>543</v>
      </c>
      <c r="C40" s="297" t="s">
        <v>292</v>
      </c>
      <c r="D40" s="437" t="s">
        <v>284</v>
      </c>
      <c r="E40" s="555" t="str">
        <f>IF(AND(OR(_Dach_Typ="Fdg",_Dach_Typ="Fd"),E27&gt;0,ISNUMBER(E38),ISNUMBER(E39)),(E38*E26+E39*E27)/(E25),
IF(AND(OR(AND(OR(_Dach_Typ="Fdg",_Dach_Typ="Fd"),E27=0),_Dach_Typ="Sd",_Dach_Typ="Pp"),ISNUMBER(E38)),E38,
IF(AND(OR(E27&gt;0,E30&gt;0),ISNUMBER(E38),NOT(ISNUMBER(E39))),0,E36)))</f>
        <v/>
      </c>
      <c r="F40" s="524" t="s">
        <v>97</v>
      </c>
      <c r="G40" s="297" t="str">
        <f>IF(E40=0,"Eingabe Zweitausrichtung erforderlich","Rechenwert spez. Jahresertrag bei technischer Vollbelegung")</f>
        <v>Rechenwert spez. Jahresertrag bei technischer Vollbelegung</v>
      </c>
      <c r="H40" s="297"/>
      <c r="I40" s="297"/>
      <c r="J40" s="297"/>
      <c r="K40" s="297"/>
    </row>
    <row r="41" spans="1:18" s="16" customFormat="1" ht="19.899999999999999" customHeight="1" x14ac:dyDescent="0.3">
      <c r="A41" s="260"/>
      <c r="B41" s="372" t="s">
        <v>543</v>
      </c>
      <c r="C41" s="372" t="s">
        <v>293</v>
      </c>
      <c r="D41" s="449" t="s">
        <v>285</v>
      </c>
      <c r="E41" s="556" t="str">
        <f>IF(AND(OR(_Dach_Typ="Fdg",_Dach_Typ="Fd"),E30&gt;0,ISNUMBER(E38),ISNUMBER(E39)),(E38*E29+E39*E30)/(E28),
IF(AND(OR(AND(OR(_Dach_Typ="Fdg",_Dach_Typ="Fd"),E30=0),_Dach_Typ="Sd",_Dach_Typ="Pp"),ISNUMBER(E38)),E38,E37))</f>
        <v/>
      </c>
      <c r="F41" s="515" t="s">
        <v>97</v>
      </c>
      <c r="G41" s="372" t="str">
        <f>IF(E41=0,"Eingabe Zweitausrichtung erforderlich","Rechenwert spez. Jahresertrag bei gesetzlichem Minimum")</f>
        <v>Rechenwert spez. Jahresertrag bei gesetzlichem Minimum</v>
      </c>
      <c r="H41" s="372"/>
      <c r="I41" s="372"/>
      <c r="J41" s="372"/>
      <c r="K41" s="372"/>
    </row>
    <row r="42" spans="1:18" ht="12.75" x14ac:dyDescent="0.2"/>
    <row r="43" spans="1:18" s="12" customFormat="1" ht="20.25" x14ac:dyDescent="0.3">
      <c r="A43" s="259"/>
      <c r="B43" s="286" t="s">
        <v>221</v>
      </c>
      <c r="D43" s="150"/>
      <c r="E43" s="719" t="s">
        <v>383</v>
      </c>
      <c r="F43" s="719"/>
      <c r="G43" s="719"/>
      <c r="H43" s="719" t="s">
        <v>384</v>
      </c>
      <c r="I43" s="719"/>
      <c r="J43" s="719"/>
      <c r="K43" s="719"/>
      <c r="N43"/>
      <c r="O43"/>
      <c r="P43"/>
      <c r="Q43"/>
      <c r="R43"/>
    </row>
    <row r="44" spans="1:18" s="12" customFormat="1" ht="19.5" customHeight="1" x14ac:dyDescent="0.3">
      <c r="A44" s="259"/>
      <c r="B44" s="303" t="s">
        <v>363</v>
      </c>
      <c r="C44" s="303"/>
      <c r="D44" s="516"/>
      <c r="E44" s="545">
        <f ca="1">IFERROR(_EIV_t.Vb./_Anlageleistung_t.Vb.*E51,0)</f>
        <v>0</v>
      </c>
      <c r="F44" s="522" t="s">
        <v>31</v>
      </c>
      <c r="G44" s="428"/>
      <c r="H44" s="545">
        <f ca="1">IFERROR(_EIV_g.Min./_Anlageleistung_g.Min.*E60,0)</f>
        <v>0</v>
      </c>
      <c r="I44" s="296" t="s">
        <v>31</v>
      </c>
      <c r="J44" s="429"/>
      <c r="K44"/>
      <c r="M44" s="218"/>
      <c r="N44"/>
      <c r="O44"/>
      <c r="P44"/>
      <c r="Q44"/>
      <c r="R44"/>
    </row>
    <row r="45" spans="1:18" s="16" customFormat="1" ht="19.899999999999999" customHeight="1" x14ac:dyDescent="0.25">
      <c r="A45" s="260"/>
      <c r="B45" s="303" t="s">
        <v>222</v>
      </c>
      <c r="C45" s="303"/>
      <c r="D45" s="516" t="s">
        <v>313</v>
      </c>
      <c r="E45" s="545">
        <f>IF(AND(E15&gt;=_Neigungswinkel_für_NB_Bund,E15&lt;=90),(E26*F23)/1000*_Bonus_Neigungswinkel_Bund+IF(OR(_Dach_Typ="Fd",_Dach_Typ="Fdg"),(F24*E27)/1000*_Bonus_Neigungswinkel_Bund,0),0)</f>
        <v>0</v>
      </c>
      <c r="F45" s="429" t="s">
        <v>31</v>
      </c>
      <c r="G45" s="514"/>
      <c r="H45" s="545">
        <f>IF(AND(E15&gt;=_Neigungswinkel_für_NB_Bund,E15&lt;=90),(E29*F23)/1000*_Bonus_Neigungswinkel_Bund+IF(OR(_Dach_Typ="Fd",_Dach_Typ="Fdg"),(F24*E30)/1000*_Bonus_Neigungswinkel_Bund,0),0)</f>
        <v>0</v>
      </c>
      <c r="I45" s="303" t="s">
        <v>31</v>
      </c>
      <c r="J45" s="429"/>
      <c r="K45"/>
    </row>
    <row r="46" spans="1:18" s="16" customFormat="1" ht="19.899999999999999" customHeight="1" x14ac:dyDescent="0.25">
      <c r="A46" s="260"/>
      <c r="B46" s="297" t="s">
        <v>223</v>
      </c>
      <c r="C46" s="297"/>
      <c r="D46" s="437" t="s">
        <v>314</v>
      </c>
      <c r="E46" s="555">
        <f>IFERROR(IF(AND(E11=Basisdaten!B154,(E26*F23+E27*F24)/1000&gt;=_Schwelle_PPBonus),(E26*F23+E27*F24)/1000*_Bonus_Pp_pronovo,0),0)</f>
        <v>0</v>
      </c>
      <c r="F46" s="557" t="s">
        <v>31</v>
      </c>
      <c r="G46" s="514"/>
      <c r="H46" s="555">
        <f>IFERROR(IF(AND(E11=Basisdaten!B154,(E29*F23+E30*F24)/1000&gt;=_Schwelle_PPBonus),(E29*F23+E30*F24)/1000*_Bonus_Pp_pronovo,0),0)</f>
        <v>0</v>
      </c>
      <c r="I46" s="297" t="s">
        <v>31</v>
      </c>
      <c r="J46" s="429"/>
      <c r="K46"/>
      <c r="M46" s="156"/>
    </row>
    <row r="47" spans="1:18" s="16" customFormat="1" ht="19.899999999999999" customHeight="1" x14ac:dyDescent="0.25">
      <c r="A47" s="260"/>
      <c r="B47" s="297" t="s">
        <v>281</v>
      </c>
      <c r="C47" s="297"/>
      <c r="D47" s="437" t="s">
        <v>310</v>
      </c>
      <c r="E47" s="555">
        <f>IF(AND(E15&gt;=_Neigungswinkel_für_NB_Bund,E15&lt;=90,NOT(_Dach_Typ="Fdg")),
((E17="unk")*E26*_Modullänge_Standard*_Modulbreite_Standard
+(E16="unk")*E27*_Modullänge_Standard*_Modulbreite_Standard
+(E17="krit")*E26*_Modullänge_Blendarm*_Modulbreite_Blendarm
+(E16="krit")*E27*_Modullänge_Blendarm*_Modulbreite_Blendarm)
*_Bonus_Steil_Stadt,0)</f>
        <v>0</v>
      </c>
      <c r="F47" s="557" t="s">
        <v>31</v>
      </c>
      <c r="G47" s="514"/>
      <c r="H47" s="555">
        <f>IF(AND(E15&gt;=_Neigungswinkel_für_NB_Bund,E15&lt;=90,NOT(_Dach_Typ="Fdg")),
((E17="unk")*E29*_Modullänge_Standard*_Modulbreite_Standard
+(E16="unk")*E30*_Modullänge_Standard*_Modulbreite_Standard
+(E17="krit")*E29*_Modullänge_Blendarm*_Modulbreite_Blendarm
+(E16="krit")*E30*_Modullänge_Blendarm*_Modulbreite_Blendarm)
*_Bonus_Steil_Stadt,0)</f>
        <v>0</v>
      </c>
      <c r="I47" s="297" t="s">
        <v>31</v>
      </c>
      <c r="J47" s="429"/>
      <c r="K47"/>
      <c r="M47" s="218"/>
    </row>
    <row r="48" spans="1:18" s="16" customFormat="1" ht="19.899999999999999" customHeight="1" x14ac:dyDescent="0.25">
      <c r="A48" s="260"/>
      <c r="B48" s="297" t="s">
        <v>309</v>
      </c>
      <c r="C48" s="297"/>
      <c r="D48" s="437" t="s">
        <v>311</v>
      </c>
      <c r="E48" s="555">
        <f>IF(_Dach_Typ="Fdg",(E26*F23+E27*F24)/1000*_Bonus_Gründach_Stadt,0)</f>
        <v>0</v>
      </c>
      <c r="F48" s="557" t="s">
        <v>31</v>
      </c>
      <c r="G48" s="514"/>
      <c r="H48" s="555">
        <f>IF(_Dach_Typ="Fdg",(E29*F23+E30*F24)/1000*_Bonus_Gründach_Stadt,0)</f>
        <v>0</v>
      </c>
      <c r="I48" s="297" t="s">
        <v>31</v>
      </c>
      <c r="J48" s="429"/>
      <c r="K48"/>
    </row>
    <row r="49" spans="1:18" s="16" customFormat="1" ht="19.899999999999999" customHeight="1" x14ac:dyDescent="0.25">
      <c r="A49" s="260"/>
      <c r="B49" s="372" t="s">
        <v>282</v>
      </c>
      <c r="C49" s="372"/>
      <c r="D49" s="449" t="s">
        <v>312</v>
      </c>
      <c r="E49" s="556">
        <f>IF(E16="krit",E26*F23/1000*_Bonus_Blendarm_Stadt,0)
+IF(AND(OR(_Dach_Typ="Fd",_Dach_Typ="Fdg"),E17="krit"),F24*E27/1000*_Bonus_Blendarm_Stadt,0)</f>
        <v>0</v>
      </c>
      <c r="F49" s="558" t="s">
        <v>31</v>
      </c>
      <c r="G49" s="514"/>
      <c r="H49" s="556">
        <f>IF(E16="krit",E29*F23/1000*_Bonus_Blendarm_Stadt,0)
+IF(AND(OR(_Dach_Typ="Fd",_Dach_Typ="Fdg"),E17="krit"),F24*E30/1000*_Bonus_Blendarm_Stadt,0)</f>
        <v>0</v>
      </c>
      <c r="I49" s="372" t="s">
        <v>31</v>
      </c>
      <c r="J49" s="429"/>
      <c r="K49"/>
    </row>
    <row r="50" spans="1:18" s="150" customFormat="1" ht="21" hidden="1" thickBot="1" x14ac:dyDescent="0.35">
      <c r="A50" s="264"/>
      <c r="B50" s="230" t="s">
        <v>368</v>
      </c>
      <c r="C50" s="25"/>
      <c r="D50" s="25"/>
      <c r="E50" s="25"/>
      <c r="F50" s="25"/>
      <c r="G50" s="25"/>
      <c r="H50" s="25"/>
      <c r="I50" s="25"/>
      <c r="J50" s="25"/>
      <c r="K50" s="231"/>
      <c r="L50" s="12"/>
      <c r="N50" s="14"/>
      <c r="O50" s="14"/>
      <c r="P50" s="14"/>
      <c r="Q50" s="14"/>
      <c r="R50" s="14"/>
    </row>
    <row r="51" spans="1:18" s="21" customFormat="1" ht="19.899999999999999" hidden="1" customHeight="1" x14ac:dyDescent="0.25">
      <c r="A51" s="261"/>
      <c r="B51" s="39" t="s">
        <v>28</v>
      </c>
      <c r="C51" s="19"/>
      <c r="D51" s="19" t="str">
        <f ca="1">CONCATENATE(B1,Basisdaten!A84)</f>
        <v>Dachfläche (3)P_TF_t.Vb.</v>
      </c>
      <c r="E51" s="232">
        <f>IF(E25&lt;6,0,
IF(AND(OR(_Dach_Typ="Fd",_Dach_Typ="Fdg"),ISNUMBER(F23),ISNUMBER(F24)),(E26*F23+E27*F24)/1000,
IF(ISNUMBER(F23),(E26*F23)/1000,0)))</f>
        <v>0</v>
      </c>
      <c r="F51" s="233" t="s">
        <v>102</v>
      </c>
      <c r="G51" s="234" t="str" cm="1">
        <f t="array" ref="G51">_xlfn.IFS(E25&lt;6,"Keine Nutzungspflicht",E16="offen","Reflektion ungeklärt",E17="offen","Reflektion ungeklärt",TRUE,"")</f>
        <v>Keine Nutzungspflicht</v>
      </c>
      <c r="H51" s="234"/>
      <c r="I51" s="234"/>
      <c r="J51" s="220"/>
      <c r="K51" s="235"/>
      <c r="L51" s="16"/>
    </row>
    <row r="52" spans="1:18" s="21" customFormat="1" ht="19.899999999999999" hidden="1" customHeight="1" x14ac:dyDescent="0.25">
      <c r="A52" s="261"/>
      <c r="B52" s="48" t="s">
        <v>357</v>
      </c>
      <c r="C52" s="27"/>
      <c r="D52" s="27"/>
      <c r="E52" s="49">
        <f>IF(E51&gt;0,VLOOKUP(D51,Basisdaten!C:E,3,FALSE),0)</f>
        <v>0</v>
      </c>
      <c r="F52" s="26" t="s">
        <v>52</v>
      </c>
      <c r="G52" s="223"/>
      <c r="H52" s="223"/>
      <c r="I52" s="223"/>
      <c r="J52" s="27"/>
      <c r="K52" s="224"/>
      <c r="L52" s="16"/>
    </row>
    <row r="53" spans="1:18" s="21" customFormat="1" ht="19.899999999999999" hidden="1" customHeight="1" x14ac:dyDescent="0.25">
      <c r="A53" s="261"/>
      <c r="B53" s="20" t="s">
        <v>29</v>
      </c>
      <c r="C53" s="17"/>
      <c r="D53" s="17"/>
      <c r="E53" s="24">
        <f>IF(E51&gt;0,E51*VLOOKUP(D51,Basisdaten!C:E,3,FALSE),0)</f>
        <v>0</v>
      </c>
      <c r="F53" s="22" t="s">
        <v>31</v>
      </c>
      <c r="G53" s="37"/>
      <c r="H53" s="37"/>
      <c r="I53" s="37"/>
      <c r="J53" s="17"/>
      <c r="K53" s="23"/>
      <c r="L53" s="16"/>
    </row>
    <row r="54" spans="1:18" s="21" customFormat="1" ht="19.899999999999999" hidden="1" customHeight="1" x14ac:dyDescent="0.25">
      <c r="A54" s="261"/>
      <c r="B54" s="20" t="s">
        <v>264</v>
      </c>
      <c r="C54" s="17"/>
      <c r="D54" s="17"/>
      <c r="E54" s="24">
        <f>IF(E16="krit",E26*_Aufpreis_Blendarm,0)
+IF(E17="krit",E27*_Aufpreis_Blendarm,0)</f>
        <v>0</v>
      </c>
      <c r="F54" s="22" t="s">
        <v>31</v>
      </c>
      <c r="G54" s="37"/>
      <c r="H54" s="37"/>
      <c r="I54" s="37"/>
      <c r="J54" s="17"/>
      <c r="K54" s="23"/>
      <c r="L54" s="16"/>
    </row>
    <row r="55" spans="1:18" s="21" customFormat="1" ht="19.899999999999999" hidden="1" customHeight="1" x14ac:dyDescent="0.25">
      <c r="A55" s="261"/>
      <c r="B55" s="20" t="s">
        <v>253</v>
      </c>
      <c r="C55" s="17"/>
      <c r="D55" s="17"/>
      <c r="E55" s="24">
        <f>IF(E51&gt;0,-SUM(E44:E49),0)</f>
        <v>0</v>
      </c>
      <c r="F55" s="22" t="s">
        <v>31</v>
      </c>
      <c r="G55" s="37"/>
      <c r="H55" s="37"/>
      <c r="I55" s="37"/>
      <c r="J55" s="17"/>
      <c r="K55" s="23"/>
      <c r="L55" s="16"/>
    </row>
    <row r="56" spans="1:18" s="21" customFormat="1" ht="19.899999999999999" hidden="1" customHeight="1" x14ac:dyDescent="0.25">
      <c r="A56" s="261"/>
      <c r="B56" s="20" t="s">
        <v>196</v>
      </c>
      <c r="C56" s="17"/>
      <c r="D56" s="17"/>
      <c r="E56" s="24">
        <f>SUM(E53:E55)</f>
        <v>0</v>
      </c>
      <c r="F56" s="22" t="s">
        <v>31</v>
      </c>
      <c r="G56" s="37"/>
      <c r="H56" s="37"/>
      <c r="I56" s="37"/>
      <c r="J56" s="17"/>
      <c r="K56" s="23"/>
      <c r="L56" s="16"/>
    </row>
    <row r="57" spans="1:18" s="21" customFormat="1" ht="19.899999999999999" hidden="1" customHeight="1" thickBot="1" x14ac:dyDescent="0.3">
      <c r="A57" s="261"/>
      <c r="B57" s="236" t="s">
        <v>367</v>
      </c>
      <c r="C57" s="28"/>
      <c r="D57" s="28" t="s">
        <v>349</v>
      </c>
      <c r="E57" s="237">
        <f>IFERROR(E56/(E40*E51)*100/25,0)</f>
        <v>0</v>
      </c>
      <c r="F57" s="157" t="s">
        <v>32</v>
      </c>
      <c r="G57" s="28" t="s">
        <v>294</v>
      </c>
      <c r="H57" s="238"/>
      <c r="I57" s="238"/>
      <c r="J57" s="28"/>
      <c r="K57" s="239"/>
      <c r="L57" s="16"/>
      <c r="M57" s="240"/>
    </row>
    <row r="58" spans="1:18" s="14" customFormat="1" ht="12.75" hidden="1" x14ac:dyDescent="0.2">
      <c r="A58" s="262"/>
      <c r="L58"/>
    </row>
    <row r="59" spans="1:18" s="150" customFormat="1" ht="21" hidden="1" thickBot="1" x14ac:dyDescent="0.35">
      <c r="A59" s="264"/>
      <c r="B59" s="230" t="s">
        <v>362</v>
      </c>
      <c r="C59" s="25"/>
      <c r="D59" s="25"/>
      <c r="E59" s="25"/>
      <c r="F59" s="25"/>
      <c r="G59" s="25"/>
      <c r="H59" s="25"/>
      <c r="I59" s="25"/>
      <c r="J59" s="25"/>
      <c r="K59" s="231"/>
      <c r="L59" s="12"/>
      <c r="N59" s="14"/>
      <c r="O59" s="14"/>
      <c r="P59" s="14"/>
      <c r="Q59" s="14"/>
      <c r="R59" s="14"/>
    </row>
    <row r="60" spans="1:18" s="21" customFormat="1" ht="19.899999999999999" hidden="1" customHeight="1" x14ac:dyDescent="0.25">
      <c r="A60" s="261"/>
      <c r="B60" s="39" t="s">
        <v>28</v>
      </c>
      <c r="C60" s="19"/>
      <c r="D60" s="19" t="str">
        <f ca="1">CONCATENATE(B1,Basisdaten!A99)</f>
        <v>Dachfläche (3)P_TF_g.Min.</v>
      </c>
      <c r="E60" s="232">
        <f>IF(E28&lt;6,0,
IF(AND(OR(_Dach_Typ="Fd",_Dach_Typ="Fdg"),ISNUMBER(F23),ISNUMBER(F24)),(E29*F23+E30*F24)/1000,
IF(ISNUMBER(F23),(E29*F23)/1000,0)))</f>
        <v>0</v>
      </c>
      <c r="F60" s="241" t="s">
        <v>102</v>
      </c>
      <c r="G60" s="19" t="str" cm="1">
        <f t="array" ref="G60">_xlfn.IFS(E28&lt;6,"Keine Nutzungspflicht",E16="offen","Reflektion ungeklärt",E17="offen","Reflektion ungeklärt",TRUE,"")</f>
        <v>Keine Nutzungspflicht</v>
      </c>
      <c r="H60" s="232"/>
      <c r="I60" s="241"/>
      <c r="J60" s="19"/>
      <c r="K60" s="242"/>
      <c r="L60" s="16"/>
    </row>
    <row r="61" spans="1:18" s="21" customFormat="1" ht="19.899999999999999" hidden="1" customHeight="1" x14ac:dyDescent="0.25">
      <c r="A61" s="261"/>
      <c r="B61" s="20" t="s">
        <v>357</v>
      </c>
      <c r="C61" s="17"/>
      <c r="D61" s="17"/>
      <c r="E61" s="24">
        <f>IF(E60&gt;0,VLOOKUP(D60,Basisdaten!C:E,3,FALSE),0)</f>
        <v>0</v>
      </c>
      <c r="F61" s="22" t="s">
        <v>31</v>
      </c>
      <c r="G61" s="17"/>
      <c r="H61" s="24"/>
      <c r="I61" s="22"/>
      <c r="J61" s="17"/>
      <c r="K61" s="23"/>
      <c r="L61" s="16"/>
    </row>
    <row r="62" spans="1:18" s="21" customFormat="1" ht="19.899999999999999" hidden="1" customHeight="1" x14ac:dyDescent="0.25">
      <c r="A62" s="261"/>
      <c r="B62" s="20" t="s">
        <v>29</v>
      </c>
      <c r="C62" s="17"/>
      <c r="D62" s="17"/>
      <c r="E62" s="24">
        <f>IF(E60&gt;0,E60*VLOOKUP(D60,Basisdaten!C:E,3,FALSE),0)</f>
        <v>0</v>
      </c>
      <c r="F62" s="22" t="s">
        <v>31</v>
      </c>
      <c r="G62" s="17"/>
      <c r="H62" s="24"/>
      <c r="I62" s="22"/>
      <c r="J62" s="17"/>
      <c r="K62" s="23"/>
      <c r="L62" s="16"/>
    </row>
    <row r="63" spans="1:18" s="21" customFormat="1" ht="19.899999999999999" hidden="1" customHeight="1" x14ac:dyDescent="0.25">
      <c r="A63" s="261"/>
      <c r="B63" s="20" t="s">
        <v>264</v>
      </c>
      <c r="C63" s="17"/>
      <c r="D63" s="17"/>
      <c r="E63" s="24">
        <f>IF(E16="krit",E29*_Aufpreis_Blendarm,0)
+IF(E17="krit",E30*_Aufpreis_Blendarm,0)</f>
        <v>0</v>
      </c>
      <c r="F63" s="22" t="s">
        <v>31</v>
      </c>
      <c r="G63" s="17"/>
      <c r="H63" s="24"/>
      <c r="I63" s="22"/>
      <c r="J63" s="17"/>
      <c r="K63" s="23"/>
      <c r="L63" s="16"/>
    </row>
    <row r="64" spans="1:18" s="21" customFormat="1" ht="19.899999999999999" hidden="1" customHeight="1" x14ac:dyDescent="0.25">
      <c r="A64" s="261"/>
      <c r="B64" s="20" t="s">
        <v>253</v>
      </c>
      <c r="C64" s="17"/>
      <c r="D64" s="17"/>
      <c r="E64" s="24">
        <f>IF(E60&gt;0,-SUM(H44:H49),0)</f>
        <v>0</v>
      </c>
      <c r="F64" s="22" t="s">
        <v>31</v>
      </c>
      <c r="G64" s="17"/>
      <c r="H64" s="24"/>
      <c r="I64" s="22"/>
      <c r="J64" s="17"/>
      <c r="K64" s="23"/>
      <c r="L64" s="16"/>
    </row>
    <row r="65" spans="1:18" s="21" customFormat="1" ht="19.899999999999999" hidden="1" customHeight="1" x14ac:dyDescent="0.25">
      <c r="A65" s="261"/>
      <c r="B65" s="20" t="s">
        <v>196</v>
      </c>
      <c r="C65" s="17"/>
      <c r="D65" s="17"/>
      <c r="E65" s="24">
        <f>SUM(E62:E64)</f>
        <v>0</v>
      </c>
      <c r="F65" s="22" t="s">
        <v>31</v>
      </c>
      <c r="G65" s="17"/>
      <c r="H65" s="24"/>
      <c r="I65" s="22"/>
      <c r="J65" s="17"/>
      <c r="K65" s="23"/>
      <c r="L65" s="16"/>
    </row>
    <row r="66" spans="1:18" s="21" customFormat="1" ht="19.899999999999999" hidden="1" customHeight="1" thickBot="1" x14ac:dyDescent="0.3">
      <c r="A66" s="261"/>
      <c r="B66" s="236" t="s">
        <v>367</v>
      </c>
      <c r="C66" s="28"/>
      <c r="D66" s="28" t="s">
        <v>350</v>
      </c>
      <c r="E66" s="237">
        <f>IFERROR(E65/(E40*E60)*100/25,0)</f>
        <v>0</v>
      </c>
      <c r="F66" s="157" t="s">
        <v>32</v>
      </c>
      <c r="G66" s="28" t="s">
        <v>294</v>
      </c>
      <c r="H66" s="237"/>
      <c r="I66" s="157"/>
      <c r="J66" s="28"/>
      <c r="K66" s="239"/>
      <c r="L66" s="16"/>
    </row>
    <row r="67" spans="1:18" s="14" customFormat="1" ht="12.75" hidden="1" x14ac:dyDescent="0.2">
      <c r="A67" s="262"/>
      <c r="L67"/>
    </row>
    <row r="68" spans="1:18" ht="12.75" x14ac:dyDescent="0.2">
      <c r="D68"/>
    </row>
    <row r="69" spans="1:18" s="12" customFormat="1" ht="20.25" x14ac:dyDescent="0.3">
      <c r="A69" s="259"/>
      <c r="B69" s="679" t="str">
        <f ca="1">"Dachaufbauten "&amp;MID(CELL("dateiname",B2),SEARCH("]",CELL("dateiname",B2))+1,31)</f>
        <v>Dachaufbauten Dachfläche (3)</v>
      </c>
      <c r="C69" s="679"/>
      <c r="D69" s="679"/>
      <c r="E69" s="679"/>
      <c r="N69"/>
      <c r="O69"/>
      <c r="P69"/>
      <c r="Q69"/>
      <c r="R69"/>
    </row>
    <row r="70" spans="1:18" s="14" customFormat="1" ht="12.75" hidden="1" x14ac:dyDescent="0.2">
      <c r="A70" s="262"/>
      <c r="B70" s="29"/>
      <c r="D70" s="14" t="s">
        <v>71</v>
      </c>
      <c r="F70" s="14">
        <v>-90</v>
      </c>
      <c r="G70" s="14">
        <v>-180</v>
      </c>
      <c r="H70" s="14">
        <v>90</v>
      </c>
      <c r="K70" s="30"/>
      <c r="L70"/>
    </row>
    <row r="71" spans="1:18" s="14" customFormat="1" ht="12.75" hidden="1" x14ac:dyDescent="0.2">
      <c r="A71" s="262"/>
      <c r="B71" s="29"/>
      <c r="D71" s="14" t="s">
        <v>60</v>
      </c>
      <c r="F71" s="31">
        <f>RADIANS(F70)</f>
        <v>-1.5707963267948966</v>
      </c>
      <c r="G71" s="31">
        <f t="shared" ref="G71:H71" si="1">RADIANS(G70)</f>
        <v>-3.1415926535897931</v>
      </c>
      <c r="H71" s="31">
        <f t="shared" si="1"/>
        <v>1.5707963267948966</v>
      </c>
      <c r="K71" s="30"/>
      <c r="L71"/>
    </row>
    <row r="72" spans="1:18" s="14" customFormat="1" ht="12.75" hidden="1" x14ac:dyDescent="0.2">
      <c r="A72" s="262"/>
      <c r="B72" s="29"/>
      <c r="D72" s="14" t="s">
        <v>61</v>
      </c>
      <c r="F72" s="14">
        <v>1</v>
      </c>
      <c r="G72" s="14">
        <v>3</v>
      </c>
      <c r="H72" s="14">
        <v>1</v>
      </c>
      <c r="K72" s="30"/>
      <c r="L72"/>
    </row>
    <row r="73" spans="1:18" s="14" customFormat="1" ht="12.75" hidden="1" x14ac:dyDescent="0.2">
      <c r="A73" s="262"/>
      <c r="B73" s="29"/>
      <c r="D73" s="14" t="s">
        <v>72</v>
      </c>
      <c r="F73" s="32">
        <f>$F$72*SIN(ATAN(1/$F$72))/SIN(ASIN(SIN($E$19)*COS($F$71-PI()+$E$18))+ATAN(1/$F$72))</f>
        <v>1</v>
      </c>
      <c r="G73" s="32">
        <f>$G$72*SIN(ATAN(1/$G$72))/SIN(ASIN(SIN(-$E$19)*COS($G$71-PI()+$E$18))+ATAN(1/$G$72))</f>
        <v>3</v>
      </c>
      <c r="H73" s="32">
        <f>$H$72*SIN(ATAN(1/$H$72))/SIN(ASIN(SIN($E$19)*COS($H$71-PI()+$E$18))+ATAN(1/$H$72))</f>
        <v>1</v>
      </c>
      <c r="K73" s="30"/>
      <c r="L73"/>
    </row>
    <row r="74" spans="1:18" s="14" customFormat="1" ht="12.75" hidden="1" x14ac:dyDescent="0.2">
      <c r="A74" s="262"/>
      <c r="B74" s="29"/>
      <c r="D74" s="14" t="s">
        <v>63</v>
      </c>
      <c r="F74" s="31">
        <f>ASIN(SIN($E$19)*COS(F71-$E$18))</f>
        <v>0</v>
      </c>
      <c r="G74" s="31">
        <f>ASIN(SIN($E$19)*COS(G71-$E$18))</f>
        <v>0</v>
      </c>
      <c r="H74" s="31">
        <f>ASIN(SIN($E$19)*COS(H71-$E$18))</f>
        <v>0</v>
      </c>
      <c r="K74" s="30"/>
      <c r="L74"/>
    </row>
    <row r="75" spans="1:18" s="14" customFormat="1" ht="12.75" hidden="1" x14ac:dyDescent="0.2">
      <c r="A75" s="262"/>
      <c r="B75" s="29"/>
      <c r="D75" s="14" t="s">
        <v>64</v>
      </c>
      <c r="F75" s="33">
        <f>F74*180/PI()</f>
        <v>0</v>
      </c>
      <c r="G75" s="33">
        <f t="shared" ref="G75:H75" si="2">G74*180/PI()</f>
        <v>0</v>
      </c>
      <c r="H75" s="33">
        <f t="shared" si="2"/>
        <v>0</v>
      </c>
      <c r="K75" s="30"/>
      <c r="L75"/>
    </row>
    <row r="76" spans="1:18" s="51" customFormat="1" ht="60" customHeight="1" x14ac:dyDescent="0.2">
      <c r="A76" s="265"/>
      <c r="B76" s="601" t="str">
        <f>_xlfn._LONGTEXT("Zu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f>
        <v>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v>
      </c>
      <c r="C76" s="601"/>
      <c r="D76" s="601"/>
      <c r="E76" s="601"/>
      <c r="F76" s="601"/>
      <c r="G76" s="601"/>
      <c r="H76" s="601"/>
      <c r="I76" s="601"/>
      <c r="J76" s="140"/>
      <c r="K76" s="140"/>
    </row>
    <row r="77" spans="1:18" s="16" customFormat="1" ht="19.899999999999999" customHeight="1" x14ac:dyDescent="0.25">
      <c r="A77" s="260"/>
      <c r="B77" s="428"/>
      <c r="C77" s="514"/>
      <c r="D77" s="559"/>
      <c r="E77" s="560"/>
      <c r="F77" s="717" t="s">
        <v>74</v>
      </c>
      <c r="G77" s="717"/>
      <c r="H77" s="717"/>
      <c r="I77"/>
      <c r="J77"/>
      <c r="K77"/>
    </row>
    <row r="78" spans="1:18" s="16" customFormat="1" ht="19.899999999999999" customHeight="1" x14ac:dyDescent="0.25">
      <c r="A78" s="260"/>
      <c r="B78" s="428" t="s">
        <v>78</v>
      </c>
      <c r="C78" s="514" t="s">
        <v>20</v>
      </c>
      <c r="D78" s="559"/>
      <c r="E78" s="562" t="s">
        <v>94</v>
      </c>
      <c r="F78" s="561" t="s">
        <v>75</v>
      </c>
      <c r="G78" s="561" t="s">
        <v>76</v>
      </c>
      <c r="H78" s="561" t="s">
        <v>77</v>
      </c>
      <c r="I78"/>
      <c r="J78"/>
      <c r="K78"/>
    </row>
    <row r="79" spans="1:18" s="16" customFormat="1" ht="19.899999999999999" customHeight="1" x14ac:dyDescent="0.25">
      <c r="A79" s="260"/>
      <c r="B79" s="563" t="s">
        <v>79</v>
      </c>
      <c r="C79" s="564"/>
      <c r="D79" s="565"/>
      <c r="E79" s="566" t="s">
        <v>73</v>
      </c>
      <c r="F79" s="566" t="s">
        <v>73</v>
      </c>
      <c r="G79" s="566" t="s">
        <v>73</v>
      </c>
      <c r="H79" s="566" t="s">
        <v>73</v>
      </c>
      <c r="I79" s="295"/>
      <c r="J79" s="295"/>
      <c r="K79" s="295"/>
    </row>
    <row r="80" spans="1:18" s="16" customFormat="1" ht="19.899999999999999" customHeight="1" x14ac:dyDescent="0.25">
      <c r="A80" s="260"/>
      <c r="B80" s="503">
        <v>1</v>
      </c>
      <c r="C80" s="567"/>
      <c r="D80" s="568"/>
      <c r="E80" s="569"/>
      <c r="F80" s="570" t="str">
        <f>IF(ISNUMBER($E80),$E80*IF($F$73&gt;0,MIN($F$72:$F$73),MAX($F$72:$F$73)),"")</f>
        <v/>
      </c>
      <c r="G80" s="570" t="str">
        <f>IF(ISNUMBER($E80),$E80*IF($G$73&gt;0,MIN($G$72:$G$73),MAX($G$72:$G$73)),"")</f>
        <v/>
      </c>
      <c r="H80" s="570" t="str">
        <f>IF(ISNUMBER($E80),$E80*IF($H$73&gt;0,MIN($H$72:$H$73),MAX($H$72:$H$73)),"")</f>
        <v/>
      </c>
      <c r="I80" s="303"/>
      <c r="J80" s="303"/>
      <c r="K80" s="303"/>
    </row>
    <row r="81" spans="1:11" s="16" customFormat="1" ht="19.899999999999999" customHeight="1" x14ac:dyDescent="0.25">
      <c r="A81" s="260"/>
      <c r="B81" s="505">
        <v>2</v>
      </c>
      <c r="C81" s="571"/>
      <c r="D81" s="572"/>
      <c r="E81" s="573"/>
      <c r="F81" s="574" t="str">
        <f>IF(ISNUMBER($E81),$E81*IF($F$73&gt;0,MIN($F$72:$F$73),MAX($F$72:$F$73)),"")</f>
        <v/>
      </c>
      <c r="G81" s="574" t="str">
        <f>IF(ISNUMBER($E81),$E81*IF($G$73&gt;0,MIN($G$72:$G$73),MAX($G$72:$G$73)),"")</f>
        <v/>
      </c>
      <c r="H81" s="574" t="str">
        <f>IF(ISNUMBER($E81),$E81*IF($H$73&gt;0,MIN($H$72:$H$73),MAX($H$72:$H$73)),"")</f>
        <v/>
      </c>
      <c r="I81" s="297"/>
      <c r="J81" s="297"/>
      <c r="K81" s="297"/>
    </row>
    <row r="82" spans="1:11" s="16" customFormat="1" ht="19.899999999999999" customHeight="1" x14ac:dyDescent="0.25">
      <c r="A82" s="260"/>
      <c r="B82" s="505">
        <v>3</v>
      </c>
      <c r="C82" s="571"/>
      <c r="D82" s="572"/>
      <c r="E82" s="573"/>
      <c r="F82" s="574" t="str">
        <f>IF(ISNUMBER($E82),$E82*IF($F$73&gt;0,MIN($F$72:$F$73),MAX($F$72:$F$73)),"")</f>
        <v/>
      </c>
      <c r="G82" s="574" t="str">
        <f>IF(ISNUMBER($E82),$E82*IF($G$73&gt;0,MIN($G$72:$G$73),MAX($G$72:$G$73)),"")</f>
        <v/>
      </c>
      <c r="H82" s="574" t="str">
        <f>IF(ISNUMBER($E82),$E82*IF($H$73&gt;0,MIN($H$72:$H$73),MAX($H$72:$H$73)),"")</f>
        <v/>
      </c>
      <c r="I82" s="297"/>
      <c r="J82" s="297"/>
      <c r="K82" s="297"/>
    </row>
    <row r="83" spans="1:11" s="16" customFormat="1" ht="19.899999999999999" customHeight="1" x14ac:dyDescent="0.25">
      <c r="A83" s="260"/>
      <c r="B83" s="505">
        <v>4</v>
      </c>
      <c r="C83" s="571"/>
      <c r="D83" s="572"/>
      <c r="E83" s="573"/>
      <c r="F83" s="574" t="str">
        <f>IF(ISNUMBER($E83),$E83*IF($F$73&gt;0,MIN($F$72:$F$73),MAX($F$72:$F$73)),"")</f>
        <v/>
      </c>
      <c r="G83" s="574" t="str">
        <f>IF(ISNUMBER($E83),$E83*IF($G$73&gt;0,MIN($G$72:$G$73),MAX($G$72:$G$73)),"")</f>
        <v/>
      </c>
      <c r="H83" s="574" t="str">
        <f>IF(ISNUMBER($E83),$E83*IF($H$73&gt;0,MIN($H$72:$H$73),MAX($H$72:$H$73)),"")</f>
        <v/>
      </c>
      <c r="I83" s="297"/>
      <c r="J83" s="297"/>
      <c r="K83" s="297"/>
    </row>
    <row r="84" spans="1:11" s="16" customFormat="1" ht="19.899999999999999" customHeight="1" x14ac:dyDescent="0.25">
      <c r="A84" s="260"/>
      <c r="B84" s="505">
        <v>5</v>
      </c>
      <c r="C84" s="571"/>
      <c r="D84" s="572"/>
      <c r="E84" s="573"/>
      <c r="F84" s="574" t="str">
        <f>IF(ISNUMBER($E84),$E84*IF($F$73&gt;0,MIN($F$72:$F$73),MAX($F$72:$F$73)),"")</f>
        <v/>
      </c>
      <c r="G84" s="574" t="str">
        <f>IF(ISNUMBER($E84),$E84*IF($G$73&gt;0,MIN($G$72:$G$73),MAX($G$72:$G$73)),"")</f>
        <v/>
      </c>
      <c r="H84" s="574" t="str">
        <f>IF(ISNUMBER($E84),$E84*IF($H$73&gt;0,MIN($H$72:$H$73),MAX($H$72:$H$73)),"")</f>
        <v/>
      </c>
      <c r="I84" s="297"/>
      <c r="J84" s="297"/>
      <c r="K84" s="297"/>
    </row>
    <row r="85" spans="1:11" ht="12.75" x14ac:dyDescent="0.2"/>
    <row r="86" spans="1:11" ht="12.75" x14ac:dyDescent="0.2"/>
    <row r="87" spans="1:11" ht="12.75" x14ac:dyDescent="0.2"/>
    <row r="88" spans="1:11" ht="15" customHeight="1" x14ac:dyDescent="0.2"/>
    <row r="89" spans="1:11" ht="15" customHeight="1" x14ac:dyDescent="0.2"/>
    <row r="90" spans="1:11" ht="15" customHeight="1" x14ac:dyDescent="0.2"/>
    <row r="91" spans="1:11" ht="15" hidden="1" customHeight="1" x14ac:dyDescent="0.2"/>
    <row r="92" spans="1:11" ht="15" hidden="1" customHeight="1" x14ac:dyDescent="0.2"/>
    <row r="93" spans="1:11" ht="15" hidden="1" customHeight="1" x14ac:dyDescent="0.2"/>
    <row r="94" spans="1:11" ht="14.1" hidden="1" customHeight="1" x14ac:dyDescent="0.2"/>
    <row r="95" spans="1:11" ht="14.1" hidden="1" customHeight="1" x14ac:dyDescent="0.2"/>
    <row r="96" spans="1:11" ht="14.1" hidden="1" customHeight="1" x14ac:dyDescent="0.2"/>
    <row r="97" ht="14.1" hidden="1" customHeight="1" x14ac:dyDescent="0.2"/>
    <row r="98" ht="14.1" hidden="1" customHeight="1" x14ac:dyDescent="0.2"/>
    <row r="99" ht="14.1" hidden="1" customHeight="1" x14ac:dyDescent="0.2"/>
    <row r="100" ht="14.1" hidden="1" customHeight="1" x14ac:dyDescent="0.2"/>
    <row r="101" ht="14.1" hidden="1" customHeight="1" x14ac:dyDescent="0.2"/>
    <row r="102" ht="14.1" hidden="1" customHeight="1" x14ac:dyDescent="0.2"/>
    <row r="103" ht="14.1" hidden="1" customHeight="1" x14ac:dyDescent="0.2"/>
    <row r="104" ht="14.1" hidden="1" customHeight="1" x14ac:dyDescent="0.2"/>
    <row r="105" ht="14.1" hidden="1" customHeight="1" x14ac:dyDescent="0.2"/>
    <row r="106" ht="14.1" hidden="1" customHeight="1" x14ac:dyDescent="0.2"/>
    <row r="107" ht="14.1" hidden="1" customHeight="1" x14ac:dyDescent="0.2"/>
    <row r="108" ht="14.1" hidden="1" customHeight="1" x14ac:dyDescent="0.2"/>
    <row r="109" ht="14.1" hidden="1" customHeight="1" x14ac:dyDescent="0.2"/>
    <row r="110" ht="14.1" hidden="1" customHeight="1" x14ac:dyDescent="0.2"/>
    <row r="111" ht="14.1" hidden="1" customHeight="1" x14ac:dyDescent="0.2"/>
    <row r="112" ht="14.1" hidden="1" customHeight="1" x14ac:dyDescent="0.2"/>
    <row r="113" ht="14.1" hidden="1" customHeight="1" x14ac:dyDescent="0.2"/>
    <row r="114" ht="14.1" hidden="1" customHeight="1" x14ac:dyDescent="0.2"/>
    <row r="115" ht="14.1" hidden="1" customHeight="1" x14ac:dyDescent="0.2"/>
    <row r="116" ht="14.1" hidden="1" customHeight="1" x14ac:dyDescent="0.2"/>
    <row r="117" ht="14.1" hidden="1" customHeight="1" x14ac:dyDescent="0.2"/>
    <row r="118" ht="14.1" hidden="1" customHeight="1" x14ac:dyDescent="0.2"/>
    <row r="119" ht="14.1" hidden="1" customHeight="1" x14ac:dyDescent="0.2"/>
    <row r="120" ht="14.1" hidden="1" customHeight="1" x14ac:dyDescent="0.2"/>
    <row r="121" ht="14.1" hidden="1" customHeight="1" x14ac:dyDescent="0.2"/>
    <row r="122" ht="14.1" hidden="1" customHeight="1" x14ac:dyDescent="0.2"/>
    <row r="123" ht="14.1" hidden="1" customHeight="1" x14ac:dyDescent="0.2"/>
    <row r="124" ht="14.1" hidden="1" customHeight="1" x14ac:dyDescent="0.2"/>
    <row r="125" ht="14.1" hidden="1" customHeight="1" x14ac:dyDescent="0.2"/>
    <row r="126" ht="14.1" hidden="1" customHeight="1" x14ac:dyDescent="0.2"/>
    <row r="127" ht="14.1" hidden="1" customHeight="1" x14ac:dyDescent="0.2"/>
    <row r="128" ht="14.1" hidden="1" customHeight="1" x14ac:dyDescent="0.2"/>
    <row r="129" ht="14.1" hidden="1" customHeight="1" x14ac:dyDescent="0.2"/>
    <row r="130" ht="14.1" hidden="1" customHeight="1" x14ac:dyDescent="0.2"/>
    <row r="131" ht="14.1" hidden="1" customHeight="1" x14ac:dyDescent="0.2"/>
    <row r="132" ht="14.1" hidden="1" customHeight="1" x14ac:dyDescent="0.2"/>
    <row r="133" ht="14.1" hidden="1" customHeight="1" x14ac:dyDescent="0.2"/>
    <row r="134" ht="14.1" hidden="1" customHeight="1" x14ac:dyDescent="0.2"/>
    <row r="135" ht="14.1" hidden="1" customHeight="1" x14ac:dyDescent="0.2"/>
    <row r="136" ht="14.1" hidden="1" customHeight="1" x14ac:dyDescent="0.2"/>
    <row r="137" ht="14.1" hidden="1" customHeight="1" x14ac:dyDescent="0.2"/>
    <row r="138" ht="14.1" hidden="1" customHeight="1" x14ac:dyDescent="0.2"/>
    <row r="139" ht="14.1" hidden="1" customHeight="1" x14ac:dyDescent="0.2"/>
    <row r="140" ht="14.1" hidden="1" customHeight="1" x14ac:dyDescent="0.2"/>
    <row r="141" ht="14.1" hidden="1" customHeight="1" x14ac:dyDescent="0.2"/>
    <row r="142" ht="14.1" hidden="1" customHeight="1" x14ac:dyDescent="0.2"/>
    <row r="143" ht="14.1" hidden="1" customHeight="1" x14ac:dyDescent="0.2"/>
    <row r="144" ht="14.1" hidden="1" customHeight="1" x14ac:dyDescent="0.2"/>
    <row r="145" ht="14.1" hidden="1" customHeight="1" x14ac:dyDescent="0.2"/>
    <row r="146" ht="14.1" hidden="1" customHeight="1" x14ac:dyDescent="0.2"/>
    <row r="147" ht="14.1" hidden="1" customHeight="1" x14ac:dyDescent="0.2"/>
    <row r="148" ht="14.1" hidden="1" customHeight="1" x14ac:dyDescent="0.2"/>
    <row r="149" ht="14.1" hidden="1" customHeight="1" x14ac:dyDescent="0.2"/>
    <row r="150" ht="14.1" hidden="1" customHeight="1" x14ac:dyDescent="0.2"/>
    <row r="151" ht="14.1" hidden="1" customHeight="1" x14ac:dyDescent="0.2"/>
    <row r="152" ht="14.1" hidden="1" customHeight="1" x14ac:dyDescent="0.2"/>
    <row r="153" ht="14.1" hidden="1" customHeight="1" x14ac:dyDescent="0.2"/>
    <row r="154" ht="14.1" hidden="1" customHeight="1" x14ac:dyDescent="0.2"/>
    <row r="155" ht="14.1" hidden="1" customHeight="1" x14ac:dyDescent="0.2"/>
    <row r="156" ht="14.1" hidden="1" customHeight="1" x14ac:dyDescent="0.2"/>
    <row r="157" ht="14.1" hidden="1" customHeight="1" x14ac:dyDescent="0.2"/>
    <row r="158" ht="14.1" hidden="1" customHeight="1" x14ac:dyDescent="0.2"/>
    <row r="159" ht="14.1" hidden="1" customHeight="1" x14ac:dyDescent="0.2"/>
    <row r="160" ht="14.1" hidden="1" customHeight="1" x14ac:dyDescent="0.2"/>
    <row r="161" ht="14.1" hidden="1" customHeight="1" x14ac:dyDescent="0.2"/>
    <row r="162" ht="14.1" hidden="1" customHeight="1" x14ac:dyDescent="0.2"/>
    <row r="163" ht="14.1" hidden="1" customHeight="1" x14ac:dyDescent="0.2"/>
    <row r="164" ht="14.1" hidden="1" customHeight="1" x14ac:dyDescent="0.2"/>
    <row r="165" ht="14.1" hidden="1" customHeight="1" x14ac:dyDescent="0.2"/>
    <row r="166" ht="14.1" hidden="1" customHeight="1" x14ac:dyDescent="0.2"/>
    <row r="167" ht="14.1" hidden="1" customHeight="1" x14ac:dyDescent="0.2"/>
    <row r="168" ht="14.1" hidden="1" customHeight="1" x14ac:dyDescent="0.2"/>
    <row r="169" ht="14.1" hidden="1" customHeight="1" x14ac:dyDescent="0.2"/>
    <row r="170" ht="14.1" hidden="1" customHeight="1" x14ac:dyDescent="0.2"/>
    <row r="171" ht="14.1" hidden="1" customHeight="1" x14ac:dyDescent="0.2"/>
    <row r="172" ht="14.1" hidden="1" customHeight="1" x14ac:dyDescent="0.2"/>
    <row r="173" ht="14.1" hidden="1" customHeight="1" x14ac:dyDescent="0.2"/>
    <row r="174" ht="14.1" hidden="1" customHeight="1" x14ac:dyDescent="0.2"/>
    <row r="175" ht="14.1" hidden="1" customHeight="1" x14ac:dyDescent="0.2"/>
    <row r="176" ht="14.1" hidden="1" customHeight="1" x14ac:dyDescent="0.2"/>
    <row r="177" ht="14.1" hidden="1" customHeight="1" x14ac:dyDescent="0.2"/>
    <row r="178" ht="14.1" hidden="1" customHeight="1" x14ac:dyDescent="0.2"/>
    <row r="179" ht="14.1" hidden="1" customHeight="1" x14ac:dyDescent="0.2"/>
    <row r="180" ht="14.1" hidden="1" customHeight="1" x14ac:dyDescent="0.2"/>
    <row r="181" ht="14.1" hidden="1" customHeight="1" x14ac:dyDescent="0.2"/>
    <row r="182" ht="14.1" hidden="1" customHeight="1" x14ac:dyDescent="0.2"/>
    <row r="183" ht="14.1" hidden="1" customHeight="1" x14ac:dyDescent="0.2"/>
    <row r="184" ht="14.1" hidden="1" customHeight="1" x14ac:dyDescent="0.2"/>
    <row r="185" ht="14.1" hidden="1" customHeight="1" x14ac:dyDescent="0.2"/>
    <row r="186" ht="14.1" hidden="1" customHeight="1" x14ac:dyDescent="0.2"/>
    <row r="187" ht="14.1" hidden="1" customHeight="1" x14ac:dyDescent="0.2"/>
    <row r="188" ht="14.1" hidden="1" customHeight="1" x14ac:dyDescent="0.2"/>
    <row r="189" ht="14.1" hidden="1" customHeight="1" x14ac:dyDescent="0.2"/>
    <row r="190" ht="14.1" hidden="1" customHeight="1" x14ac:dyDescent="0.2"/>
    <row r="191" ht="14.1" hidden="1" customHeight="1" x14ac:dyDescent="0.2"/>
    <row r="192" ht="14.1" hidden="1" customHeight="1" x14ac:dyDescent="0.2"/>
    <row r="193" ht="14.1" hidden="1" customHeight="1" x14ac:dyDescent="0.2"/>
    <row r="194" ht="14.1" hidden="1" customHeight="1" x14ac:dyDescent="0.2"/>
    <row r="195" ht="14.1" hidden="1" customHeight="1" x14ac:dyDescent="0.2"/>
    <row r="196" ht="14.1" hidden="1" customHeight="1" x14ac:dyDescent="0.2"/>
    <row r="197" ht="14.1" hidden="1" customHeight="1" x14ac:dyDescent="0.2"/>
    <row r="198" ht="14.1" hidden="1" customHeight="1" x14ac:dyDescent="0.2"/>
    <row r="199" ht="14.1" hidden="1" customHeight="1" x14ac:dyDescent="0.2"/>
    <row r="200" ht="14.1" hidden="1" customHeight="1" x14ac:dyDescent="0.2"/>
    <row r="201" ht="14.1" hidden="1" customHeight="1" x14ac:dyDescent="0.2"/>
    <row r="202" ht="14.1" hidden="1" customHeight="1" x14ac:dyDescent="0.2"/>
    <row r="203" ht="14.1" hidden="1" customHeight="1" x14ac:dyDescent="0.2"/>
    <row r="204" ht="14.1" hidden="1" customHeight="1" x14ac:dyDescent="0.2"/>
    <row r="205" ht="14.1" hidden="1" customHeight="1" x14ac:dyDescent="0.2"/>
    <row r="206" ht="14.1" hidden="1" customHeight="1" x14ac:dyDescent="0.2"/>
    <row r="207" ht="14.1" hidden="1" customHeight="1" x14ac:dyDescent="0.2"/>
    <row r="208" ht="14.1" hidden="1" customHeight="1" x14ac:dyDescent="0.2"/>
    <row r="209" ht="14.1" hidden="1" customHeight="1" x14ac:dyDescent="0.2"/>
    <row r="210" ht="14.1" hidden="1" customHeight="1" x14ac:dyDescent="0.2"/>
    <row r="211" ht="14.1" hidden="1" customHeight="1" x14ac:dyDescent="0.2"/>
    <row r="212" ht="14.1" hidden="1" customHeight="1" x14ac:dyDescent="0.2"/>
    <row r="213" ht="14.1" hidden="1" customHeight="1" x14ac:dyDescent="0.2"/>
    <row r="214" ht="14.1" hidden="1" customHeight="1" x14ac:dyDescent="0.2"/>
    <row r="215" ht="14.1" hidden="1" customHeight="1" x14ac:dyDescent="0.2"/>
    <row r="216" ht="14.1" hidden="1" customHeight="1" x14ac:dyDescent="0.2"/>
    <row r="217" ht="14.1" hidden="1" customHeight="1" x14ac:dyDescent="0.2"/>
    <row r="218" ht="14.1" hidden="1" customHeight="1" x14ac:dyDescent="0.2"/>
    <row r="219" ht="14.1" hidden="1" customHeight="1" x14ac:dyDescent="0.2"/>
    <row r="220" ht="14.1" hidden="1" customHeight="1" x14ac:dyDescent="0.2"/>
    <row r="221" ht="14.1" hidden="1" customHeight="1" x14ac:dyDescent="0.2"/>
    <row r="222" ht="14.1" hidden="1" customHeight="1" x14ac:dyDescent="0.2"/>
    <row r="223" ht="14.1" hidden="1" customHeight="1" x14ac:dyDescent="0.2"/>
    <row r="224" ht="14.1" hidden="1" customHeight="1" x14ac:dyDescent="0.2"/>
    <row r="225" ht="14.1" hidden="1" customHeight="1" x14ac:dyDescent="0.2"/>
    <row r="226" ht="14.1" hidden="1" customHeight="1" x14ac:dyDescent="0.2"/>
    <row r="227" ht="14.1" hidden="1" customHeight="1" x14ac:dyDescent="0.2"/>
    <row r="228" ht="14.1" hidden="1" customHeight="1" x14ac:dyDescent="0.2"/>
    <row r="229" ht="14.1" hidden="1" customHeight="1" x14ac:dyDescent="0.2"/>
    <row r="230" ht="14.1" hidden="1" customHeight="1" x14ac:dyDescent="0.2"/>
    <row r="231" ht="14.1" hidden="1" customHeight="1" x14ac:dyDescent="0.2"/>
    <row r="232" ht="14.1" hidden="1" customHeight="1" x14ac:dyDescent="0.2"/>
    <row r="233" ht="14.1" hidden="1" customHeight="1" x14ac:dyDescent="0.2"/>
    <row r="234" ht="14.1" hidden="1" customHeight="1" x14ac:dyDescent="0.2"/>
    <row r="235" ht="14.1" hidden="1" customHeight="1" x14ac:dyDescent="0.2"/>
    <row r="236" ht="14.1" hidden="1" customHeight="1" x14ac:dyDescent="0.2"/>
    <row r="237" ht="14.1" hidden="1" customHeight="1" x14ac:dyDescent="0.2"/>
    <row r="238" ht="14.1" hidden="1" customHeight="1" x14ac:dyDescent="0.2"/>
    <row r="239" ht="14.1" hidden="1" customHeight="1" x14ac:dyDescent="0.2"/>
    <row r="240" ht="14.1" hidden="1" customHeight="1" x14ac:dyDescent="0.2"/>
    <row r="241" ht="14.1" hidden="1" customHeight="1" x14ac:dyDescent="0.2"/>
    <row r="242" ht="14.1" hidden="1" customHeight="1" x14ac:dyDescent="0.2"/>
    <row r="243" ht="14.1" hidden="1" customHeight="1" x14ac:dyDescent="0.2"/>
    <row r="244" ht="14.1" hidden="1" customHeight="1" x14ac:dyDescent="0.2"/>
    <row r="245" ht="14.1" hidden="1" customHeight="1" x14ac:dyDescent="0.2"/>
    <row r="246" ht="14.1" hidden="1" customHeight="1" x14ac:dyDescent="0.2"/>
    <row r="247" ht="14.1" hidden="1" customHeight="1" x14ac:dyDescent="0.2"/>
    <row r="248" ht="14.1" hidden="1" customHeight="1" x14ac:dyDescent="0.2"/>
    <row r="249" ht="14.1" hidden="1" customHeight="1" x14ac:dyDescent="0.2"/>
    <row r="250" ht="14.1" hidden="1" customHeight="1" x14ac:dyDescent="0.2"/>
    <row r="251" ht="14.1" hidden="1" customHeight="1" x14ac:dyDescent="0.2"/>
    <row r="252" ht="14.1" hidden="1" customHeight="1" x14ac:dyDescent="0.2"/>
    <row r="253" ht="14.1" hidden="1" customHeight="1" x14ac:dyDescent="0.2"/>
    <row r="254" ht="14.1" hidden="1" customHeight="1" x14ac:dyDescent="0.2"/>
    <row r="255" ht="14.1" hidden="1" customHeight="1" x14ac:dyDescent="0.2"/>
    <row r="256" ht="14.1" hidden="1" customHeight="1" x14ac:dyDescent="0.2"/>
    <row r="257" ht="14.1" hidden="1" customHeight="1" x14ac:dyDescent="0.2"/>
    <row r="258" ht="14.1" hidden="1" customHeight="1" x14ac:dyDescent="0.2"/>
    <row r="259" ht="14.1" hidden="1" customHeight="1" x14ac:dyDescent="0.2"/>
    <row r="260" ht="14.1" hidden="1" customHeight="1" x14ac:dyDescent="0.2"/>
    <row r="261" ht="14.1" hidden="1" customHeight="1" x14ac:dyDescent="0.2"/>
    <row r="262" ht="14.1" hidden="1" customHeight="1" x14ac:dyDescent="0.2"/>
    <row r="263" ht="14.1" hidden="1" customHeight="1" x14ac:dyDescent="0.2"/>
    <row r="264" ht="14.1" hidden="1" customHeight="1" x14ac:dyDescent="0.2"/>
    <row r="265" ht="14.1" hidden="1" customHeight="1" x14ac:dyDescent="0.2"/>
    <row r="266" ht="14.1" hidden="1" customHeight="1" x14ac:dyDescent="0.2"/>
    <row r="267" ht="14.1" hidden="1" customHeight="1" x14ac:dyDescent="0.2"/>
    <row r="268" ht="14.1" hidden="1" customHeight="1" x14ac:dyDescent="0.2"/>
    <row r="269" ht="14.1" hidden="1" customHeight="1" x14ac:dyDescent="0.2"/>
    <row r="270" ht="14.1" hidden="1" customHeight="1" x14ac:dyDescent="0.2"/>
    <row r="271" ht="14.1" hidden="1" customHeight="1" x14ac:dyDescent="0.2"/>
    <row r="272" ht="14.1" hidden="1" customHeight="1" x14ac:dyDescent="0.2"/>
    <row r="273" ht="14.1" hidden="1" customHeight="1" x14ac:dyDescent="0.2"/>
    <row r="274" ht="14.1" hidden="1" customHeight="1" x14ac:dyDescent="0.2"/>
    <row r="275" ht="14.1" hidden="1" customHeight="1" x14ac:dyDescent="0.2"/>
    <row r="276" ht="14.1" hidden="1" customHeight="1" x14ac:dyDescent="0.2"/>
    <row r="277" ht="14.1" hidden="1" customHeight="1" x14ac:dyDescent="0.2"/>
    <row r="278" ht="14.1" hidden="1" customHeight="1" x14ac:dyDescent="0.2"/>
    <row r="279" ht="14.1" hidden="1" customHeight="1" x14ac:dyDescent="0.2"/>
    <row r="280" ht="14.1" hidden="1" customHeight="1" x14ac:dyDescent="0.2"/>
    <row r="281" ht="14.1" hidden="1" customHeight="1" x14ac:dyDescent="0.2"/>
    <row r="282" ht="14.1" hidden="1" customHeight="1" x14ac:dyDescent="0.2"/>
    <row r="283" ht="14.1" hidden="1" customHeight="1" x14ac:dyDescent="0.2"/>
    <row r="284" ht="14.1" hidden="1" customHeight="1" x14ac:dyDescent="0.2"/>
    <row r="285" ht="14.1" hidden="1" customHeight="1" x14ac:dyDescent="0.2"/>
    <row r="286" ht="14.1" hidden="1" customHeight="1" x14ac:dyDescent="0.2"/>
    <row r="287" ht="14.1" hidden="1" customHeight="1" x14ac:dyDescent="0.2"/>
    <row r="288" ht="14.1" hidden="1" customHeight="1" x14ac:dyDescent="0.2"/>
    <row r="289" ht="14.1" hidden="1" customHeight="1" x14ac:dyDescent="0.2"/>
    <row r="290" ht="14.1" hidden="1" customHeight="1" x14ac:dyDescent="0.2"/>
    <row r="291" ht="14.1" hidden="1" customHeight="1" x14ac:dyDescent="0.2"/>
    <row r="292" ht="14.1" hidden="1" customHeight="1" x14ac:dyDescent="0.2"/>
    <row r="293" ht="14.1" hidden="1" customHeight="1" x14ac:dyDescent="0.2"/>
    <row r="294" ht="14.1" hidden="1" customHeight="1" x14ac:dyDescent="0.2"/>
    <row r="295" ht="14.1" hidden="1" customHeight="1" x14ac:dyDescent="0.2"/>
    <row r="296" ht="14.1" hidden="1" customHeight="1" x14ac:dyDescent="0.2"/>
    <row r="297" ht="14.1" hidden="1" customHeight="1" x14ac:dyDescent="0.2"/>
    <row r="298" ht="14.1" hidden="1" customHeight="1" x14ac:dyDescent="0.2"/>
    <row r="299" ht="14.1" hidden="1" customHeight="1" x14ac:dyDescent="0.2"/>
    <row r="300" ht="14.1" hidden="1" customHeight="1" x14ac:dyDescent="0.2"/>
    <row r="301" ht="14.1" hidden="1" customHeight="1" x14ac:dyDescent="0.2"/>
    <row r="302" ht="14.1" hidden="1" customHeight="1" x14ac:dyDescent="0.2"/>
    <row r="303" ht="14.1" hidden="1" customHeight="1" x14ac:dyDescent="0.2"/>
    <row r="304" ht="14.1" hidden="1" customHeight="1" x14ac:dyDescent="0.2"/>
    <row r="305" ht="14.1" hidden="1" customHeight="1" x14ac:dyDescent="0.2"/>
    <row r="306" ht="14.1" hidden="1" customHeight="1" x14ac:dyDescent="0.2"/>
    <row r="307" ht="14.1" hidden="1" customHeight="1" x14ac:dyDescent="0.2"/>
    <row r="308" ht="14.1" hidden="1" customHeight="1" x14ac:dyDescent="0.2"/>
    <row r="309" ht="14.1" hidden="1" customHeight="1" x14ac:dyDescent="0.2"/>
    <row r="310" ht="14.1" hidden="1" customHeight="1" x14ac:dyDescent="0.2"/>
    <row r="311" ht="14.1" hidden="1" customHeight="1" x14ac:dyDescent="0.2"/>
    <row r="312" ht="14.1" hidden="1" customHeight="1" x14ac:dyDescent="0.2"/>
    <row r="313" ht="14.1" hidden="1" customHeight="1" x14ac:dyDescent="0.2"/>
    <row r="314" ht="14.1" hidden="1" customHeight="1" x14ac:dyDescent="0.2"/>
    <row r="315" ht="14.1" hidden="1" customHeight="1" x14ac:dyDescent="0.2"/>
    <row r="316" ht="14.1" hidden="1" customHeight="1" x14ac:dyDescent="0.2"/>
    <row r="317" ht="14.1" hidden="1" customHeight="1" x14ac:dyDescent="0.2"/>
    <row r="318" ht="14.1" hidden="1" customHeight="1" x14ac:dyDescent="0.2"/>
    <row r="319" ht="14.1" hidden="1" customHeight="1" x14ac:dyDescent="0.2"/>
    <row r="320" ht="14.1" hidden="1" customHeight="1" x14ac:dyDescent="0.2"/>
    <row r="321" ht="14.1" hidden="1" customHeight="1" x14ac:dyDescent="0.2"/>
    <row r="322" ht="14.1" hidden="1" customHeight="1" x14ac:dyDescent="0.2"/>
    <row r="323" ht="14.1" hidden="1" customHeight="1" x14ac:dyDescent="0.2"/>
    <row r="324" ht="14.1" hidden="1" customHeight="1" x14ac:dyDescent="0.2"/>
    <row r="325" ht="14.1" hidden="1" customHeight="1" x14ac:dyDescent="0.2"/>
    <row r="326" ht="14.1" hidden="1" customHeight="1" x14ac:dyDescent="0.2"/>
    <row r="327" ht="14.1" hidden="1" customHeight="1" x14ac:dyDescent="0.2"/>
    <row r="328" ht="14.1" hidden="1" customHeight="1" x14ac:dyDescent="0.2"/>
    <row r="329" ht="14.1" hidden="1" customHeight="1" x14ac:dyDescent="0.2"/>
    <row r="330" ht="14.1" hidden="1" customHeight="1" x14ac:dyDescent="0.2"/>
    <row r="331" ht="14.1" hidden="1" customHeight="1" x14ac:dyDescent="0.2"/>
    <row r="332" ht="14.1" hidden="1" customHeight="1" x14ac:dyDescent="0.2"/>
    <row r="333" ht="14.1" hidden="1" customHeight="1" x14ac:dyDescent="0.2"/>
    <row r="334" ht="14.1" hidden="1" customHeight="1" x14ac:dyDescent="0.2"/>
    <row r="335" ht="14.1" hidden="1" customHeight="1" x14ac:dyDescent="0.2"/>
    <row r="336" ht="14.1" hidden="1" customHeight="1" x14ac:dyDescent="0.2"/>
    <row r="337" ht="14.1" hidden="1" customHeight="1" x14ac:dyDescent="0.2"/>
    <row r="338" ht="14.1" hidden="1" customHeight="1" x14ac:dyDescent="0.2"/>
    <row r="339" ht="14.1" hidden="1" customHeight="1" x14ac:dyDescent="0.2"/>
    <row r="340" ht="14.1" hidden="1" customHeight="1" x14ac:dyDescent="0.2"/>
    <row r="341" ht="14.1" hidden="1" customHeight="1" x14ac:dyDescent="0.2"/>
    <row r="342" ht="14.1" hidden="1" customHeight="1" x14ac:dyDescent="0.2"/>
    <row r="343" ht="14.1" hidden="1" customHeight="1" x14ac:dyDescent="0.2"/>
    <row r="344" ht="14.1" hidden="1" customHeight="1" x14ac:dyDescent="0.2"/>
    <row r="345" ht="14.1" hidden="1" customHeight="1" x14ac:dyDescent="0.2"/>
    <row r="346" ht="14.1" hidden="1" customHeight="1" x14ac:dyDescent="0.2"/>
    <row r="347" ht="14.1" hidden="1" customHeight="1" x14ac:dyDescent="0.2"/>
    <row r="348" ht="14.1" hidden="1" customHeight="1" x14ac:dyDescent="0.2"/>
    <row r="349" ht="14.1" hidden="1" customHeight="1" x14ac:dyDescent="0.2"/>
    <row r="350" ht="14.1" hidden="1" customHeight="1" x14ac:dyDescent="0.2"/>
    <row r="351" ht="14.1" hidden="1" customHeight="1" x14ac:dyDescent="0.2"/>
    <row r="352" ht="14.1" hidden="1" customHeight="1" x14ac:dyDescent="0.2"/>
    <row r="353" ht="14.1" hidden="1" customHeight="1" x14ac:dyDescent="0.2"/>
    <row r="354" ht="14.1" hidden="1" customHeight="1" x14ac:dyDescent="0.2"/>
    <row r="355" ht="14.1" hidden="1" customHeight="1" x14ac:dyDescent="0.2"/>
    <row r="356" ht="14.1" hidden="1" customHeight="1" x14ac:dyDescent="0.2"/>
    <row r="357" ht="14.1" hidden="1" customHeight="1" x14ac:dyDescent="0.2"/>
    <row r="358" ht="14.1" hidden="1" customHeight="1" x14ac:dyDescent="0.2"/>
    <row r="359" ht="14.1" hidden="1" customHeight="1" x14ac:dyDescent="0.2"/>
    <row r="360" ht="14.1" hidden="1" customHeight="1" x14ac:dyDescent="0.2"/>
    <row r="361" ht="14.1" hidden="1" customHeight="1" x14ac:dyDescent="0.2"/>
    <row r="362" ht="14.1" hidden="1" customHeight="1" x14ac:dyDescent="0.2"/>
    <row r="363" ht="14.1" hidden="1" customHeight="1" x14ac:dyDescent="0.2"/>
    <row r="364" ht="14.1" hidden="1" customHeight="1" x14ac:dyDescent="0.2"/>
    <row r="365" ht="14.1" hidden="1" customHeight="1" x14ac:dyDescent="0.2"/>
    <row r="366" ht="14.1" hidden="1" customHeight="1" x14ac:dyDescent="0.2"/>
    <row r="367" ht="14.1" hidden="1" customHeight="1" x14ac:dyDescent="0.2"/>
    <row r="368" ht="14.1" hidden="1" customHeight="1" x14ac:dyDescent="0.2"/>
    <row r="369" ht="14.1" hidden="1" customHeight="1" x14ac:dyDescent="0.2"/>
    <row r="370" ht="14.1" hidden="1" customHeight="1" x14ac:dyDescent="0.2"/>
    <row r="371" ht="14.1" hidden="1" customHeight="1" x14ac:dyDescent="0.2"/>
    <row r="372" ht="14.1" hidden="1" customHeight="1" x14ac:dyDescent="0.2"/>
    <row r="373" ht="14.1" hidden="1" customHeight="1" x14ac:dyDescent="0.2"/>
    <row r="374" ht="14.1" hidden="1" customHeight="1" x14ac:dyDescent="0.2"/>
    <row r="375" ht="14.1" hidden="1" customHeight="1" x14ac:dyDescent="0.2"/>
    <row r="376" ht="14.1" hidden="1" customHeight="1" x14ac:dyDescent="0.2"/>
    <row r="377" ht="14.1" hidden="1" customHeight="1" x14ac:dyDescent="0.2"/>
    <row r="378" ht="14.1" hidden="1" customHeight="1" x14ac:dyDescent="0.2"/>
    <row r="379" ht="14.1" hidden="1" customHeight="1" x14ac:dyDescent="0.2"/>
    <row r="380" ht="14.1" hidden="1" customHeight="1" x14ac:dyDescent="0.2"/>
    <row r="381" ht="14.1" hidden="1" customHeight="1" x14ac:dyDescent="0.2"/>
    <row r="382" ht="14.1" hidden="1" customHeight="1" x14ac:dyDescent="0.2"/>
    <row r="383" ht="14.1" hidden="1" customHeight="1" x14ac:dyDescent="0.2"/>
    <row r="384" ht="14.1" hidden="1" customHeight="1" x14ac:dyDescent="0.2"/>
    <row r="385" ht="14.1" hidden="1" customHeight="1" x14ac:dyDescent="0.2"/>
    <row r="386" ht="14.1" hidden="1" customHeight="1" x14ac:dyDescent="0.2"/>
    <row r="387" ht="14.1" hidden="1" customHeight="1" x14ac:dyDescent="0.2"/>
    <row r="388" ht="14.1" hidden="1" customHeight="1" x14ac:dyDescent="0.2"/>
    <row r="389" ht="14.1" hidden="1" customHeight="1" x14ac:dyDescent="0.2"/>
    <row r="390" ht="14.1" hidden="1" customHeight="1" x14ac:dyDescent="0.2"/>
    <row r="391" ht="14.1" hidden="1" customHeight="1" x14ac:dyDescent="0.2"/>
    <row r="392" ht="14.1" hidden="1" customHeight="1" x14ac:dyDescent="0.2"/>
    <row r="393" ht="14.1" hidden="1" customHeight="1" x14ac:dyDescent="0.2"/>
    <row r="394" ht="14.1" hidden="1" customHeight="1" x14ac:dyDescent="0.2"/>
    <row r="395" ht="14.1" hidden="1" customHeight="1" x14ac:dyDescent="0.2"/>
    <row r="396" ht="14.1" hidden="1" customHeight="1" x14ac:dyDescent="0.2"/>
    <row r="397" ht="14.1" hidden="1" customHeight="1" x14ac:dyDescent="0.2"/>
    <row r="398" ht="14.1" hidden="1" customHeight="1" x14ac:dyDescent="0.2"/>
    <row r="399" ht="14.1" hidden="1" customHeight="1" x14ac:dyDescent="0.2"/>
    <row r="400" ht="14.1" hidden="1" customHeight="1" x14ac:dyDescent="0.2"/>
    <row r="401" ht="14.1" hidden="1" customHeight="1" x14ac:dyDescent="0.2"/>
    <row r="402" ht="14.1" hidden="1" customHeight="1" x14ac:dyDescent="0.2"/>
    <row r="403" ht="14.1" hidden="1" customHeight="1" x14ac:dyDescent="0.2"/>
    <row r="404" ht="14.1" hidden="1" customHeight="1" x14ac:dyDescent="0.2"/>
    <row r="405" ht="14.1" hidden="1" customHeight="1" x14ac:dyDescent="0.2"/>
    <row r="406" ht="14.1" hidden="1" customHeight="1" x14ac:dyDescent="0.2"/>
    <row r="407" ht="14.1" hidden="1" customHeight="1" x14ac:dyDescent="0.2"/>
    <row r="408" ht="14.1" hidden="1" customHeight="1" x14ac:dyDescent="0.2"/>
    <row r="409" ht="14.1" hidden="1" customHeight="1" x14ac:dyDescent="0.2"/>
    <row r="410" ht="14.1" hidden="1" customHeight="1" x14ac:dyDescent="0.2"/>
    <row r="411" ht="14.1" hidden="1" customHeight="1" x14ac:dyDescent="0.2"/>
    <row r="412" ht="14.1" hidden="1" customHeight="1" x14ac:dyDescent="0.2"/>
    <row r="413" ht="14.1" hidden="1" customHeight="1" x14ac:dyDescent="0.2"/>
    <row r="414" ht="14.1" hidden="1" customHeight="1" x14ac:dyDescent="0.2"/>
    <row r="415" ht="14.1" hidden="1" customHeight="1" x14ac:dyDescent="0.2"/>
    <row r="416" ht="14.1" hidden="1" customHeight="1" x14ac:dyDescent="0.2"/>
    <row r="417" ht="14.1" hidden="1" customHeight="1" x14ac:dyDescent="0.2"/>
    <row r="418" ht="14.1" hidden="1" customHeight="1" x14ac:dyDescent="0.2"/>
    <row r="419" ht="14.1" hidden="1" customHeight="1" x14ac:dyDescent="0.2"/>
    <row r="420" ht="14.1" hidden="1" customHeight="1" x14ac:dyDescent="0.2"/>
    <row r="421" ht="14.1" hidden="1" customHeight="1" x14ac:dyDescent="0.2"/>
    <row r="422" ht="14.1" hidden="1" customHeight="1" x14ac:dyDescent="0.2"/>
    <row r="423" ht="14.1" hidden="1" customHeight="1" x14ac:dyDescent="0.2"/>
    <row r="424" ht="14.1" hidden="1" customHeight="1" x14ac:dyDescent="0.2"/>
    <row r="425" ht="14.1" hidden="1" customHeight="1" x14ac:dyDescent="0.2"/>
    <row r="426" ht="14.1" hidden="1" customHeight="1" x14ac:dyDescent="0.2"/>
    <row r="427" ht="14.1" hidden="1" customHeight="1" x14ac:dyDescent="0.2"/>
    <row r="428" ht="14.1" hidden="1" customHeight="1" x14ac:dyDescent="0.2"/>
    <row r="429" ht="14.1" hidden="1" customHeight="1" x14ac:dyDescent="0.2"/>
    <row r="430" ht="14.1" hidden="1" customHeight="1" x14ac:dyDescent="0.2"/>
    <row r="431" ht="14.1" hidden="1" customHeight="1" x14ac:dyDescent="0.2"/>
    <row r="432" ht="14.1" hidden="1" customHeight="1" x14ac:dyDescent="0.2"/>
    <row r="433" ht="14.1" hidden="1" customHeight="1" x14ac:dyDescent="0.2"/>
    <row r="434" ht="14.1" hidden="1" customHeight="1" x14ac:dyDescent="0.2"/>
    <row r="435" ht="14.1" hidden="1" customHeight="1" x14ac:dyDescent="0.2"/>
    <row r="436" ht="14.1" hidden="1" customHeight="1" x14ac:dyDescent="0.2"/>
    <row r="437" ht="14.1" hidden="1" customHeight="1" x14ac:dyDescent="0.2"/>
    <row r="438" ht="14.1" hidden="1" customHeight="1" x14ac:dyDescent="0.2"/>
    <row r="439" ht="14.1" hidden="1" customHeight="1" x14ac:dyDescent="0.2"/>
    <row r="440" ht="14.1" hidden="1" customHeight="1" x14ac:dyDescent="0.2"/>
    <row r="441" ht="14.1" hidden="1" customHeight="1" x14ac:dyDescent="0.2"/>
    <row r="442" ht="14.1" hidden="1" customHeight="1" x14ac:dyDescent="0.2"/>
    <row r="443" ht="14.1" hidden="1" customHeight="1" x14ac:dyDescent="0.2"/>
    <row r="444" ht="14.1" hidden="1" customHeight="1" x14ac:dyDescent="0.2"/>
    <row r="445" ht="14.1" hidden="1" customHeight="1" x14ac:dyDescent="0.2"/>
    <row r="446" ht="14.1" hidden="1" customHeight="1" x14ac:dyDescent="0.2"/>
    <row r="447" ht="14.1" hidden="1" customHeight="1" x14ac:dyDescent="0.2"/>
    <row r="448" ht="14.1" hidden="1" customHeight="1" x14ac:dyDescent="0.2"/>
    <row r="449" ht="14.1" hidden="1" customHeight="1" x14ac:dyDescent="0.2"/>
    <row r="450" ht="14.1" hidden="1" customHeight="1" x14ac:dyDescent="0.2"/>
    <row r="451" ht="14.1" hidden="1" customHeight="1" x14ac:dyDescent="0.2"/>
    <row r="452" ht="14.1" hidden="1" customHeight="1" x14ac:dyDescent="0.2"/>
    <row r="453" ht="14.1" hidden="1" customHeight="1" x14ac:dyDescent="0.2"/>
    <row r="454" ht="14.1" hidden="1" customHeight="1" x14ac:dyDescent="0.2"/>
    <row r="455" ht="14.1" hidden="1" customHeight="1" x14ac:dyDescent="0.2"/>
    <row r="456" ht="14.1" hidden="1" customHeight="1" x14ac:dyDescent="0.2"/>
    <row r="457" ht="14.1" hidden="1" customHeight="1" x14ac:dyDescent="0.2"/>
    <row r="458" ht="14.1" hidden="1" customHeight="1" x14ac:dyDescent="0.2"/>
    <row r="459" ht="14.1" hidden="1" customHeight="1" x14ac:dyDescent="0.2"/>
    <row r="460" ht="14.1" hidden="1" customHeight="1" x14ac:dyDescent="0.2"/>
    <row r="461" ht="14.1" hidden="1" customHeight="1" x14ac:dyDescent="0.2"/>
    <row r="462" ht="14.1" hidden="1" customHeight="1" x14ac:dyDescent="0.2"/>
    <row r="463" ht="14.1" hidden="1" customHeight="1" x14ac:dyDescent="0.2"/>
    <row r="464" ht="14.1" hidden="1" customHeight="1" x14ac:dyDescent="0.2"/>
    <row r="465" ht="14.1" hidden="1" customHeight="1" x14ac:dyDescent="0.2"/>
    <row r="466" ht="14.1" hidden="1" customHeight="1" x14ac:dyDescent="0.2"/>
    <row r="467" ht="14.1" hidden="1" customHeight="1" x14ac:dyDescent="0.2"/>
    <row r="468" ht="14.1" hidden="1" customHeight="1" x14ac:dyDescent="0.2"/>
    <row r="469" ht="14.1" hidden="1" customHeight="1" x14ac:dyDescent="0.2"/>
    <row r="470" ht="14.1" hidden="1" customHeight="1" x14ac:dyDescent="0.2"/>
    <row r="471" ht="14.1" hidden="1" customHeight="1" x14ac:dyDescent="0.2"/>
    <row r="472" ht="14.1" hidden="1" customHeight="1" x14ac:dyDescent="0.2"/>
    <row r="473" ht="14.1" hidden="1" customHeight="1" x14ac:dyDescent="0.2"/>
    <row r="474" ht="14.1" hidden="1" customHeight="1" x14ac:dyDescent="0.2"/>
    <row r="475" ht="14.1" hidden="1" customHeight="1" x14ac:dyDescent="0.2"/>
    <row r="476" ht="14.1" hidden="1" customHeight="1" x14ac:dyDescent="0.2"/>
    <row r="477" ht="14.1" hidden="1" customHeight="1" x14ac:dyDescent="0.2"/>
    <row r="478" ht="14.1" hidden="1" customHeight="1" x14ac:dyDescent="0.2"/>
    <row r="479" ht="14.1" hidden="1" customHeight="1" x14ac:dyDescent="0.2"/>
    <row r="480" ht="14.1" hidden="1" customHeight="1" x14ac:dyDescent="0.2"/>
    <row r="481" ht="14.1" hidden="1" customHeight="1" x14ac:dyDescent="0.2"/>
    <row r="482" ht="14.1" hidden="1" customHeight="1" x14ac:dyDescent="0.2"/>
    <row r="483" ht="14.1" hidden="1" customHeight="1" x14ac:dyDescent="0.2"/>
    <row r="484" ht="14.1" hidden="1" customHeight="1" x14ac:dyDescent="0.2"/>
    <row r="485" ht="14.1" hidden="1" customHeight="1" x14ac:dyDescent="0.2"/>
    <row r="486" ht="14.1" hidden="1" customHeight="1" x14ac:dyDescent="0.2"/>
    <row r="487" ht="14.1" hidden="1" customHeight="1" x14ac:dyDescent="0.2"/>
    <row r="488" ht="14.1" hidden="1" customHeight="1" x14ac:dyDescent="0.2"/>
    <row r="489" ht="14.1" hidden="1" customHeight="1" x14ac:dyDescent="0.2"/>
    <row r="490" ht="14.1" hidden="1" customHeight="1" x14ac:dyDescent="0.2"/>
    <row r="491" ht="14.1" hidden="1" customHeight="1" x14ac:dyDescent="0.2"/>
    <row r="492" ht="14.1" hidden="1" customHeight="1" x14ac:dyDescent="0.2"/>
    <row r="493" ht="14.1" hidden="1" customHeight="1" x14ac:dyDescent="0.2"/>
    <row r="494" ht="14.1" hidden="1" customHeight="1" x14ac:dyDescent="0.2"/>
    <row r="495" ht="14.1" hidden="1" customHeight="1" x14ac:dyDescent="0.2"/>
    <row r="496" ht="14.1" hidden="1" customHeight="1" x14ac:dyDescent="0.2"/>
    <row r="497" ht="14.1" hidden="1" customHeight="1" x14ac:dyDescent="0.2"/>
    <row r="498" ht="14.1" hidden="1" customHeight="1" x14ac:dyDescent="0.2"/>
    <row r="499" ht="14.1" hidden="1" customHeight="1" x14ac:dyDescent="0.2"/>
    <row r="500" ht="14.1" hidden="1" customHeight="1" x14ac:dyDescent="0.2"/>
    <row r="501" ht="14.1" hidden="1" customHeight="1" x14ac:dyDescent="0.2"/>
    <row r="502" ht="14.1" hidden="1" customHeight="1" x14ac:dyDescent="0.2"/>
    <row r="503" ht="14.1" hidden="1" customHeight="1" x14ac:dyDescent="0.2"/>
    <row r="504" ht="14.1" hidden="1" customHeight="1" x14ac:dyDescent="0.2"/>
    <row r="505" ht="14.1" hidden="1" customHeight="1" x14ac:dyDescent="0.2"/>
    <row r="506" ht="14.1" hidden="1" customHeight="1" x14ac:dyDescent="0.2"/>
    <row r="507" ht="14.1" hidden="1" customHeight="1" x14ac:dyDescent="0.2"/>
    <row r="508" ht="14.1" hidden="1" customHeight="1" x14ac:dyDescent="0.2"/>
    <row r="509" ht="14.1" hidden="1" customHeight="1" x14ac:dyDescent="0.2"/>
    <row r="510" ht="14.1" hidden="1" customHeight="1" x14ac:dyDescent="0.2"/>
    <row r="511" ht="14.1" hidden="1" customHeight="1" x14ac:dyDescent="0.2"/>
    <row r="512" ht="14.1" hidden="1" customHeight="1" x14ac:dyDescent="0.2"/>
    <row r="513" ht="14.1" hidden="1" customHeight="1" x14ac:dyDescent="0.2"/>
    <row r="514" ht="14.1" hidden="1" customHeight="1" x14ac:dyDescent="0.2"/>
    <row r="515" ht="14.1" hidden="1" customHeight="1" x14ac:dyDescent="0.2"/>
    <row r="516" ht="14.1" hidden="1" customHeight="1" x14ac:dyDescent="0.2"/>
    <row r="517" ht="14.1" hidden="1" customHeight="1" x14ac:dyDescent="0.2"/>
    <row r="518" ht="14.1" hidden="1" customHeight="1" x14ac:dyDescent="0.2"/>
    <row r="519" ht="14.1" hidden="1" customHeight="1" x14ac:dyDescent="0.2"/>
    <row r="520" ht="14.1" hidden="1" customHeight="1" x14ac:dyDescent="0.2"/>
    <row r="521" ht="14.1" hidden="1" customHeight="1" x14ac:dyDescent="0.2"/>
    <row r="522" ht="14.1" hidden="1" customHeight="1" x14ac:dyDescent="0.2"/>
    <row r="523" ht="14.1" hidden="1" customHeight="1" x14ac:dyDescent="0.2"/>
    <row r="524" ht="14.1" hidden="1" customHeight="1" x14ac:dyDescent="0.2"/>
    <row r="525" ht="14.1" hidden="1" customHeight="1" x14ac:dyDescent="0.2"/>
    <row r="526" ht="14.1" hidden="1" customHeight="1" x14ac:dyDescent="0.2"/>
    <row r="527" ht="14.1" hidden="1" customHeight="1" x14ac:dyDescent="0.2"/>
    <row r="528" ht="14.1" hidden="1" customHeight="1" x14ac:dyDescent="0.2"/>
    <row r="529" ht="14.1" hidden="1" customHeight="1" x14ac:dyDescent="0.2"/>
    <row r="530" ht="14.1" hidden="1" customHeight="1" x14ac:dyDescent="0.2"/>
    <row r="531" ht="14.1" hidden="1" customHeight="1" x14ac:dyDescent="0.2"/>
    <row r="532" ht="14.1" hidden="1" customHeight="1" x14ac:dyDescent="0.2"/>
    <row r="533" ht="14.1" hidden="1" customHeight="1" x14ac:dyDescent="0.2"/>
    <row r="534" ht="14.1" hidden="1" customHeight="1" x14ac:dyDescent="0.2"/>
    <row r="535" ht="14.1" hidden="1" customHeight="1" x14ac:dyDescent="0.2"/>
    <row r="536" ht="14.1" hidden="1" customHeight="1" x14ac:dyDescent="0.2"/>
    <row r="537" ht="14.1" hidden="1" customHeight="1" x14ac:dyDescent="0.2"/>
    <row r="538" ht="14.1" hidden="1" customHeight="1" x14ac:dyDescent="0.2"/>
    <row r="539" ht="14.1" hidden="1" customHeight="1" x14ac:dyDescent="0.2"/>
    <row r="540" ht="14.1" hidden="1" customHeight="1" x14ac:dyDescent="0.2"/>
    <row r="541" ht="14.1" hidden="1" customHeight="1" x14ac:dyDescent="0.2"/>
    <row r="542" ht="14.1" hidden="1" customHeight="1" x14ac:dyDescent="0.2"/>
    <row r="543" ht="14.1" hidden="1" customHeight="1" x14ac:dyDescent="0.2"/>
    <row r="544" ht="14.1" hidden="1" customHeight="1" x14ac:dyDescent="0.2"/>
    <row r="545" ht="14.1" hidden="1" customHeight="1" x14ac:dyDescent="0.2"/>
    <row r="546" ht="14.1" hidden="1" customHeight="1" x14ac:dyDescent="0.2"/>
    <row r="547" ht="14.1" hidden="1" customHeight="1" x14ac:dyDescent="0.2"/>
    <row r="548" ht="14.1" hidden="1" customHeight="1" x14ac:dyDescent="0.2"/>
    <row r="549" ht="14.1" hidden="1" customHeight="1" x14ac:dyDescent="0.2"/>
    <row r="550" ht="14.1" hidden="1" customHeight="1" x14ac:dyDescent="0.2"/>
    <row r="551" ht="14.1" hidden="1" customHeight="1" x14ac:dyDescent="0.2"/>
    <row r="552" ht="14.1" hidden="1" customHeight="1" x14ac:dyDescent="0.2"/>
    <row r="553" ht="14.1" hidden="1" customHeight="1" x14ac:dyDescent="0.2"/>
    <row r="554" ht="14.1" hidden="1" customHeight="1" x14ac:dyDescent="0.2"/>
    <row r="555" ht="14.1" hidden="1" customHeight="1" x14ac:dyDescent="0.2"/>
    <row r="556" ht="14.1" hidden="1" customHeight="1" x14ac:dyDescent="0.2"/>
    <row r="557" ht="14.1" hidden="1" customHeight="1" x14ac:dyDescent="0.2"/>
    <row r="558" ht="14.1" hidden="1" customHeight="1" x14ac:dyDescent="0.2"/>
    <row r="559" ht="14.1" hidden="1" customHeight="1" x14ac:dyDescent="0.2"/>
    <row r="560" ht="14.1" hidden="1" customHeight="1" x14ac:dyDescent="0.2"/>
    <row r="561" ht="14.1" hidden="1" customHeight="1" x14ac:dyDescent="0.2"/>
    <row r="562" ht="14.1" hidden="1" customHeight="1" x14ac:dyDescent="0.2"/>
    <row r="563" ht="14.1" hidden="1" customHeight="1" x14ac:dyDescent="0.2"/>
    <row r="564" ht="14.1" hidden="1" customHeight="1" x14ac:dyDescent="0.2"/>
    <row r="565" ht="14.1" hidden="1" customHeight="1" x14ac:dyDescent="0.2"/>
    <row r="566" ht="14.1" hidden="1" customHeight="1" x14ac:dyDescent="0.2"/>
    <row r="567" ht="14.1" hidden="1" customHeight="1" x14ac:dyDescent="0.2"/>
    <row r="568" ht="14.1" hidden="1" customHeight="1" x14ac:dyDescent="0.2"/>
    <row r="569" ht="14.1" hidden="1" customHeight="1" x14ac:dyDescent="0.2"/>
    <row r="570" ht="14.1" hidden="1" customHeight="1" x14ac:dyDescent="0.2"/>
    <row r="571" ht="14.1" hidden="1" customHeight="1" x14ac:dyDescent="0.2"/>
    <row r="572" ht="14.1" hidden="1" customHeight="1" x14ac:dyDescent="0.2"/>
    <row r="573" ht="14.1" hidden="1" customHeight="1" x14ac:dyDescent="0.2"/>
    <row r="574" ht="14.1" hidden="1" customHeight="1" x14ac:dyDescent="0.2"/>
    <row r="575" ht="14.1" hidden="1" customHeight="1" x14ac:dyDescent="0.2"/>
    <row r="576" ht="14.1" hidden="1" customHeight="1" x14ac:dyDescent="0.2"/>
    <row r="577" ht="14.1" hidden="1" customHeight="1" x14ac:dyDescent="0.2"/>
    <row r="578" ht="14.1" hidden="1" customHeight="1" x14ac:dyDescent="0.2"/>
    <row r="579" ht="14.1" hidden="1" customHeight="1" x14ac:dyDescent="0.2"/>
    <row r="580" ht="14.1" hidden="1" customHeight="1" x14ac:dyDescent="0.2"/>
    <row r="581" ht="14.1" hidden="1" customHeight="1" x14ac:dyDescent="0.2"/>
    <row r="582" ht="14.1" hidden="1" customHeight="1" x14ac:dyDescent="0.2"/>
    <row r="583" ht="14.1" hidden="1" customHeight="1" x14ac:dyDescent="0.2"/>
    <row r="584" ht="14.1" hidden="1" customHeight="1" x14ac:dyDescent="0.2"/>
    <row r="585" ht="14.1" hidden="1" customHeight="1" x14ac:dyDescent="0.2"/>
    <row r="586" ht="14.1" hidden="1" customHeight="1" x14ac:dyDescent="0.2"/>
    <row r="587" ht="14.1" hidden="1" customHeight="1" x14ac:dyDescent="0.2"/>
    <row r="588" ht="14.1" hidden="1" customHeight="1" x14ac:dyDescent="0.2"/>
    <row r="589" ht="14.1" hidden="1" customHeight="1" x14ac:dyDescent="0.2"/>
    <row r="590" ht="14.1" hidden="1" customHeight="1" x14ac:dyDescent="0.2"/>
    <row r="591" ht="14.1" hidden="1" customHeight="1" x14ac:dyDescent="0.2"/>
    <row r="592" ht="14.1" hidden="1" customHeight="1" x14ac:dyDescent="0.2"/>
    <row r="593" ht="14.1" hidden="1" customHeight="1" x14ac:dyDescent="0.2"/>
    <row r="594" ht="14.1" hidden="1" customHeight="1" x14ac:dyDescent="0.2"/>
    <row r="595" ht="14.1" hidden="1" customHeight="1" x14ac:dyDescent="0.2"/>
    <row r="596" ht="14.1" hidden="1" customHeight="1" x14ac:dyDescent="0.2"/>
    <row r="597" ht="14.1" hidden="1" customHeight="1" x14ac:dyDescent="0.2"/>
    <row r="598" ht="14.1" hidden="1" customHeight="1" x14ac:dyDescent="0.2"/>
    <row r="599" ht="14.1" hidden="1" customHeight="1" x14ac:dyDescent="0.2"/>
    <row r="600" ht="14.1" hidden="1" customHeight="1" x14ac:dyDescent="0.2"/>
    <row r="601" ht="14.1" hidden="1" customHeight="1" x14ac:dyDescent="0.2"/>
    <row r="602" ht="14.1" hidden="1" customHeight="1" x14ac:dyDescent="0.2"/>
    <row r="603" ht="14.1" hidden="1" customHeight="1" x14ac:dyDescent="0.2"/>
    <row r="604" ht="14.1" hidden="1" customHeight="1" x14ac:dyDescent="0.2"/>
    <row r="605" ht="14.1" hidden="1" customHeight="1" x14ac:dyDescent="0.2"/>
    <row r="606" ht="14.1" hidden="1" customHeight="1" x14ac:dyDescent="0.2"/>
    <row r="607" ht="14.1" hidden="1" customHeight="1" x14ac:dyDescent="0.2"/>
    <row r="608" ht="14.1" hidden="1" customHeight="1" x14ac:dyDescent="0.2"/>
    <row r="609" ht="14.1" hidden="1" customHeight="1" x14ac:dyDescent="0.2"/>
    <row r="610" ht="14.1" hidden="1" customHeight="1" x14ac:dyDescent="0.2"/>
    <row r="611" ht="14.1" hidden="1" customHeight="1" x14ac:dyDescent="0.2"/>
    <row r="612" ht="14.1" hidden="1" customHeight="1" x14ac:dyDescent="0.2"/>
    <row r="613" ht="14.1" hidden="1" customHeight="1" x14ac:dyDescent="0.2"/>
    <row r="614" ht="14.1" hidden="1" customHeight="1" x14ac:dyDescent="0.2"/>
    <row r="615" ht="14.1" hidden="1" customHeight="1" x14ac:dyDescent="0.2"/>
    <row r="616" ht="14.1" hidden="1" customHeight="1" x14ac:dyDescent="0.2"/>
    <row r="617" ht="14.1" hidden="1" customHeight="1" x14ac:dyDescent="0.2"/>
    <row r="618" ht="14.1" hidden="1" customHeight="1" x14ac:dyDescent="0.2"/>
    <row r="619" ht="14.1" hidden="1" customHeight="1" x14ac:dyDescent="0.2"/>
    <row r="620" ht="14.1" hidden="1" customHeight="1" x14ac:dyDescent="0.2"/>
    <row r="621" ht="14.1" hidden="1" customHeight="1" x14ac:dyDescent="0.2"/>
    <row r="622" ht="14.1" hidden="1" customHeight="1" x14ac:dyDescent="0.2"/>
    <row r="623" ht="14.1" hidden="1" customHeight="1" x14ac:dyDescent="0.2"/>
    <row r="624" ht="14.1" hidden="1" customHeight="1" x14ac:dyDescent="0.2"/>
    <row r="625" ht="14.1" hidden="1" customHeight="1" x14ac:dyDescent="0.2"/>
    <row r="626" ht="14.1" hidden="1" customHeight="1" x14ac:dyDescent="0.2"/>
    <row r="627" ht="14.1" hidden="1" customHeight="1" x14ac:dyDescent="0.2"/>
    <row r="628" ht="14.1" hidden="1" customHeight="1" x14ac:dyDescent="0.2"/>
    <row r="629" ht="14.1" hidden="1" customHeight="1" x14ac:dyDescent="0.2"/>
    <row r="630" ht="14.1" hidden="1" customHeight="1" x14ac:dyDescent="0.2"/>
    <row r="631" ht="14.1" hidden="1" customHeight="1" x14ac:dyDescent="0.2"/>
    <row r="632" ht="14.1" hidden="1" customHeight="1" x14ac:dyDescent="0.2"/>
    <row r="633" ht="14.1" hidden="1" customHeight="1" x14ac:dyDescent="0.2"/>
    <row r="634" ht="14.1" hidden="1" customHeight="1" x14ac:dyDescent="0.2"/>
    <row r="635" ht="14.1" hidden="1" customHeight="1" x14ac:dyDescent="0.2"/>
    <row r="636" ht="14.1" hidden="1" customHeight="1" x14ac:dyDescent="0.2"/>
    <row r="637" ht="14.1" hidden="1" customHeight="1" x14ac:dyDescent="0.2"/>
    <row r="638" ht="14.1" hidden="1" customHeight="1" x14ac:dyDescent="0.2"/>
    <row r="639" ht="14.1" hidden="1" customHeight="1" x14ac:dyDescent="0.2"/>
    <row r="640" ht="14.1" hidden="1" customHeight="1" x14ac:dyDescent="0.2"/>
    <row r="641" ht="14.1" hidden="1" customHeight="1" x14ac:dyDescent="0.2"/>
    <row r="642" ht="14.1" hidden="1" customHeight="1" x14ac:dyDescent="0.2"/>
    <row r="643" ht="14.1" hidden="1" customHeight="1" x14ac:dyDescent="0.2"/>
    <row r="644" ht="14.1" hidden="1" customHeight="1" x14ac:dyDescent="0.2"/>
    <row r="645" ht="14.1" hidden="1" customHeight="1" x14ac:dyDescent="0.2"/>
    <row r="646" ht="14.1" hidden="1" customHeight="1" x14ac:dyDescent="0.2"/>
    <row r="647" ht="14.1" hidden="1" customHeight="1" x14ac:dyDescent="0.2"/>
    <row r="648" ht="14.1" hidden="1" customHeight="1" x14ac:dyDescent="0.2"/>
    <row r="649" ht="14.1" hidden="1" customHeight="1" x14ac:dyDescent="0.2"/>
    <row r="650" ht="14.1" hidden="1" customHeight="1" x14ac:dyDescent="0.2"/>
    <row r="651" ht="14.1" hidden="1" customHeight="1" x14ac:dyDescent="0.2"/>
    <row r="652" ht="14.1" hidden="1" customHeight="1" x14ac:dyDescent="0.2"/>
    <row r="653" ht="14.1" hidden="1" customHeight="1" x14ac:dyDescent="0.2"/>
    <row r="654" ht="14.1" hidden="1" customHeight="1" x14ac:dyDescent="0.2"/>
    <row r="655" ht="14.1" hidden="1" customHeight="1" x14ac:dyDescent="0.2"/>
    <row r="656" ht="14.1" hidden="1" customHeight="1" x14ac:dyDescent="0.2"/>
    <row r="657" ht="14.1" hidden="1" customHeight="1" x14ac:dyDescent="0.2"/>
    <row r="658" ht="14.1" hidden="1" customHeight="1" x14ac:dyDescent="0.2"/>
    <row r="659" ht="14.1" hidden="1" customHeight="1" x14ac:dyDescent="0.2"/>
    <row r="660" ht="14.1" hidden="1" customHeight="1" x14ac:dyDescent="0.2"/>
    <row r="661" ht="14.1" hidden="1" customHeight="1" x14ac:dyDescent="0.2"/>
    <row r="662" ht="14.1" hidden="1" customHeight="1" x14ac:dyDescent="0.2"/>
    <row r="663" ht="14.1" hidden="1" customHeight="1" x14ac:dyDescent="0.2"/>
    <row r="664" ht="14.1" hidden="1" customHeight="1" x14ac:dyDescent="0.2"/>
    <row r="665" ht="14.1" hidden="1" customHeight="1" x14ac:dyDescent="0.2"/>
    <row r="666" ht="14.1" hidden="1" customHeight="1" x14ac:dyDescent="0.2"/>
    <row r="667" ht="14.1" hidden="1" customHeight="1" x14ac:dyDescent="0.2"/>
    <row r="668" ht="14.1" hidden="1" customHeight="1" x14ac:dyDescent="0.2"/>
    <row r="669" ht="14.1" hidden="1" customHeight="1" x14ac:dyDescent="0.2"/>
    <row r="670" ht="14.1" hidden="1" customHeight="1" x14ac:dyDescent="0.2"/>
    <row r="671" ht="14.1" hidden="1" customHeight="1" x14ac:dyDescent="0.2"/>
    <row r="672" ht="14.1" hidden="1" customHeight="1" x14ac:dyDescent="0.2"/>
    <row r="673" ht="14.1" hidden="1" customHeight="1" x14ac:dyDescent="0.2"/>
    <row r="674" ht="14.1" hidden="1" customHeight="1" x14ac:dyDescent="0.2"/>
    <row r="675" ht="14.1" hidden="1" customHeight="1" x14ac:dyDescent="0.2"/>
    <row r="676" ht="14.1" hidden="1" customHeight="1" x14ac:dyDescent="0.2"/>
    <row r="677" ht="14.1" hidden="1" customHeight="1" x14ac:dyDescent="0.2"/>
    <row r="678" ht="14.1" hidden="1" customHeight="1" x14ac:dyDescent="0.2"/>
    <row r="679" ht="14.1" hidden="1" customHeight="1" x14ac:dyDescent="0.2"/>
    <row r="680" ht="14.1" hidden="1" customHeight="1" x14ac:dyDescent="0.2"/>
    <row r="681" ht="14.1" hidden="1" customHeight="1" x14ac:dyDescent="0.2"/>
    <row r="682" ht="14.1" hidden="1" customHeight="1" x14ac:dyDescent="0.2"/>
    <row r="683" ht="14.1" hidden="1" customHeight="1" x14ac:dyDescent="0.2"/>
    <row r="684" ht="14.1" hidden="1" customHeight="1" x14ac:dyDescent="0.2"/>
    <row r="685" ht="14.1" hidden="1" customHeight="1" x14ac:dyDescent="0.2"/>
    <row r="686" ht="14.1" hidden="1" customHeight="1" x14ac:dyDescent="0.2"/>
    <row r="687" ht="14.1" hidden="1" customHeight="1" x14ac:dyDescent="0.2"/>
    <row r="688" ht="14.1" hidden="1" customHeight="1" x14ac:dyDescent="0.2"/>
    <row r="689" ht="14.1" hidden="1" customHeight="1" x14ac:dyDescent="0.2"/>
    <row r="690" ht="14.1" hidden="1" customHeight="1" x14ac:dyDescent="0.2"/>
    <row r="691" ht="14.1" hidden="1" customHeight="1" x14ac:dyDescent="0.2"/>
    <row r="692" ht="14.1" hidden="1" customHeight="1" x14ac:dyDescent="0.2"/>
    <row r="693" ht="14.1" hidden="1" customHeight="1" x14ac:dyDescent="0.2"/>
    <row r="694" ht="14.1" hidden="1" customHeight="1" x14ac:dyDescent="0.2"/>
    <row r="695" ht="14.1" hidden="1" customHeight="1" x14ac:dyDescent="0.2"/>
    <row r="696" ht="14.1" hidden="1" customHeight="1" x14ac:dyDescent="0.2"/>
    <row r="697" ht="14.1" hidden="1" customHeight="1" x14ac:dyDescent="0.2"/>
    <row r="698" ht="14.1" hidden="1" customHeight="1" x14ac:dyDescent="0.2"/>
    <row r="699" ht="14.1" hidden="1" customHeight="1" x14ac:dyDescent="0.2"/>
    <row r="700" ht="14.1" hidden="1" customHeight="1" x14ac:dyDescent="0.2"/>
    <row r="701" ht="14.1" hidden="1" customHeight="1" x14ac:dyDescent="0.2"/>
    <row r="702" ht="14.1" hidden="1" customHeight="1" x14ac:dyDescent="0.2"/>
    <row r="703" ht="14.1" hidden="1" customHeight="1" x14ac:dyDescent="0.2"/>
    <row r="704" ht="14.1" hidden="1" customHeight="1" x14ac:dyDescent="0.2"/>
    <row r="705" ht="14.1" hidden="1" customHeight="1" x14ac:dyDescent="0.2"/>
    <row r="706" ht="14.1" hidden="1" customHeight="1" x14ac:dyDescent="0.2"/>
    <row r="707" ht="14.1" hidden="1" customHeight="1" x14ac:dyDescent="0.2"/>
    <row r="708" ht="14.1" hidden="1" customHeight="1" x14ac:dyDescent="0.2"/>
    <row r="709" ht="14.1" hidden="1" customHeight="1" x14ac:dyDescent="0.2"/>
    <row r="710" ht="14.1" hidden="1" customHeight="1" x14ac:dyDescent="0.2"/>
    <row r="711" ht="14.1" hidden="1" customHeight="1" x14ac:dyDescent="0.2"/>
    <row r="712" ht="14.1" hidden="1" customHeight="1" x14ac:dyDescent="0.2"/>
    <row r="713" ht="14.1" hidden="1" customHeight="1" x14ac:dyDescent="0.2"/>
    <row r="714" ht="14.1" hidden="1" customHeight="1" x14ac:dyDescent="0.2"/>
    <row r="715" ht="14.1" hidden="1" customHeight="1" x14ac:dyDescent="0.2"/>
    <row r="716" ht="14.1" hidden="1" customHeight="1" x14ac:dyDescent="0.2"/>
    <row r="717" ht="14.1" hidden="1" customHeight="1" x14ac:dyDescent="0.2"/>
    <row r="718" ht="14.1" hidden="1" customHeight="1" x14ac:dyDescent="0.2"/>
    <row r="719" ht="14.1" hidden="1" customHeight="1" x14ac:dyDescent="0.2"/>
    <row r="720" ht="14.1" hidden="1" customHeight="1" x14ac:dyDescent="0.2"/>
    <row r="721" ht="14.1" hidden="1" customHeight="1" x14ac:dyDescent="0.2"/>
    <row r="722" ht="14.1" hidden="1" customHeight="1" x14ac:dyDescent="0.2"/>
    <row r="723" ht="14.1" hidden="1" customHeight="1" x14ac:dyDescent="0.2"/>
    <row r="724" ht="14.1" hidden="1" customHeight="1" x14ac:dyDescent="0.2"/>
    <row r="725" ht="14.1" hidden="1" customHeight="1" x14ac:dyDescent="0.2"/>
    <row r="726" ht="14.1" hidden="1" customHeight="1" x14ac:dyDescent="0.2"/>
    <row r="727" ht="14.1" hidden="1" customHeight="1" x14ac:dyDescent="0.2"/>
    <row r="728" ht="14.1" hidden="1" customHeight="1" x14ac:dyDescent="0.2"/>
    <row r="729" ht="14.1" hidden="1" customHeight="1" x14ac:dyDescent="0.2"/>
    <row r="730" ht="14.1" hidden="1" customHeight="1" x14ac:dyDescent="0.2"/>
    <row r="731" ht="14.1" hidden="1" customHeight="1" x14ac:dyDescent="0.2"/>
    <row r="732" ht="14.1" hidden="1" customHeight="1" x14ac:dyDescent="0.2"/>
    <row r="733" ht="14.1" hidden="1" customHeight="1" x14ac:dyDescent="0.2"/>
    <row r="734" ht="14.1" hidden="1" customHeight="1" x14ac:dyDescent="0.2"/>
    <row r="735" ht="14.1" hidden="1" customHeight="1" x14ac:dyDescent="0.2"/>
    <row r="736" ht="14.1" hidden="1" customHeight="1" x14ac:dyDescent="0.2"/>
    <row r="737" ht="14.1" hidden="1" customHeight="1" x14ac:dyDescent="0.2"/>
    <row r="738" ht="14.1" hidden="1" customHeight="1" x14ac:dyDescent="0.2"/>
    <row r="739" ht="14.1" hidden="1" customHeight="1" x14ac:dyDescent="0.2"/>
    <row r="740" ht="14.1" hidden="1" customHeight="1" x14ac:dyDescent="0.2"/>
    <row r="741" ht="14.1" hidden="1" customHeight="1" x14ac:dyDescent="0.2"/>
    <row r="742" ht="14.1" hidden="1" customHeight="1" x14ac:dyDescent="0.2"/>
    <row r="743" ht="14.1" hidden="1" customHeight="1" x14ac:dyDescent="0.2"/>
    <row r="744" ht="14.1" hidden="1" customHeight="1" x14ac:dyDescent="0.2"/>
    <row r="745" ht="14.1" hidden="1" customHeight="1" x14ac:dyDescent="0.2"/>
    <row r="746" ht="14.1" hidden="1" customHeight="1" x14ac:dyDescent="0.2"/>
    <row r="747" ht="14.1" hidden="1" customHeight="1" x14ac:dyDescent="0.2"/>
    <row r="748" ht="14.1" hidden="1" customHeight="1" x14ac:dyDescent="0.2"/>
    <row r="749" ht="14.1" hidden="1" customHeight="1" x14ac:dyDescent="0.2"/>
    <row r="750" ht="14.1" hidden="1" customHeight="1" x14ac:dyDescent="0.2"/>
    <row r="751" ht="14.1" hidden="1" customHeight="1" x14ac:dyDescent="0.2"/>
    <row r="752" ht="14.1" hidden="1" customHeight="1" x14ac:dyDescent="0.2"/>
    <row r="753" ht="14.1" hidden="1" customHeight="1" x14ac:dyDescent="0.2"/>
    <row r="754" ht="14.1" hidden="1" customHeight="1" x14ac:dyDescent="0.2"/>
    <row r="755" ht="14.1" hidden="1" customHeight="1" x14ac:dyDescent="0.2"/>
    <row r="756" ht="14.1" hidden="1" customHeight="1" x14ac:dyDescent="0.2"/>
    <row r="757" ht="14.1" hidden="1" customHeight="1" x14ac:dyDescent="0.2"/>
    <row r="758" ht="14.1" hidden="1" customHeight="1" x14ac:dyDescent="0.2"/>
    <row r="759" ht="14.1" hidden="1" customHeight="1" x14ac:dyDescent="0.2"/>
    <row r="760" ht="14.1" hidden="1" customHeight="1" x14ac:dyDescent="0.2"/>
    <row r="761" ht="14.1" hidden="1" customHeight="1" x14ac:dyDescent="0.2"/>
    <row r="762" ht="14.1" hidden="1" customHeight="1" x14ac:dyDescent="0.2"/>
    <row r="763" ht="14.1" hidden="1" customHeight="1" x14ac:dyDescent="0.2"/>
    <row r="764" ht="14.1" hidden="1" customHeight="1" x14ac:dyDescent="0.2"/>
    <row r="765" ht="14.1" hidden="1" customHeight="1" x14ac:dyDescent="0.2"/>
    <row r="766" ht="14.1" hidden="1" customHeight="1" x14ac:dyDescent="0.2"/>
    <row r="767" ht="14.1" hidden="1" customHeight="1" x14ac:dyDescent="0.2"/>
    <row r="768" ht="14.1" hidden="1" customHeight="1" x14ac:dyDescent="0.2"/>
    <row r="769" ht="14.1" hidden="1" customHeight="1" x14ac:dyDescent="0.2"/>
    <row r="770" ht="14.1" hidden="1" customHeight="1" x14ac:dyDescent="0.2"/>
    <row r="771" ht="14.1" hidden="1" customHeight="1" x14ac:dyDescent="0.2"/>
    <row r="772" ht="14.1" hidden="1" customHeight="1" x14ac:dyDescent="0.2"/>
    <row r="773" ht="14.1" hidden="1" customHeight="1" x14ac:dyDescent="0.2"/>
    <row r="774" ht="14.1" hidden="1" customHeight="1" x14ac:dyDescent="0.2"/>
    <row r="775" ht="14.1" hidden="1" customHeight="1" x14ac:dyDescent="0.2"/>
    <row r="776" ht="14.1" hidden="1" customHeight="1" x14ac:dyDescent="0.2"/>
    <row r="777" ht="14.1" hidden="1" customHeight="1" x14ac:dyDescent="0.2"/>
    <row r="778" ht="14.1" hidden="1" customHeight="1" x14ac:dyDescent="0.2"/>
    <row r="779" ht="14.1" hidden="1" customHeight="1" x14ac:dyDescent="0.2"/>
    <row r="780" ht="14.1" hidden="1" customHeight="1" x14ac:dyDescent="0.2"/>
    <row r="781" ht="14.1" hidden="1" customHeight="1" x14ac:dyDescent="0.2"/>
    <row r="782" ht="14.1" hidden="1" customHeight="1" x14ac:dyDescent="0.2"/>
    <row r="783" ht="14.1" hidden="1" customHeight="1" x14ac:dyDescent="0.2"/>
    <row r="784" ht="14.1" hidden="1" customHeight="1" x14ac:dyDescent="0.2"/>
    <row r="785" ht="14.1" hidden="1" customHeight="1" x14ac:dyDescent="0.2"/>
    <row r="786" ht="14.1" hidden="1" customHeight="1" x14ac:dyDescent="0.2"/>
    <row r="787" ht="14.1" hidden="1" customHeight="1" x14ac:dyDescent="0.2"/>
    <row r="788" ht="14.1" hidden="1" customHeight="1" x14ac:dyDescent="0.2"/>
    <row r="789" ht="14.1" hidden="1" customHeight="1" x14ac:dyDescent="0.2"/>
    <row r="790" ht="14.1" hidden="1" customHeight="1" x14ac:dyDescent="0.2"/>
    <row r="791" ht="14.1" hidden="1" customHeight="1" x14ac:dyDescent="0.2"/>
    <row r="792" ht="14.1" hidden="1" customHeight="1" x14ac:dyDescent="0.2"/>
    <row r="793" ht="14.1" hidden="1" customHeight="1" x14ac:dyDescent="0.2"/>
    <row r="794" ht="14.1" hidden="1" customHeight="1" x14ac:dyDescent="0.2"/>
    <row r="795" ht="14.1" hidden="1" customHeight="1" x14ac:dyDescent="0.2"/>
    <row r="796" ht="14.1" hidden="1" customHeight="1" x14ac:dyDescent="0.2"/>
    <row r="797" ht="14.1" hidden="1" customHeight="1" x14ac:dyDescent="0.2"/>
    <row r="798" ht="14.1" hidden="1" customHeight="1" x14ac:dyDescent="0.2"/>
    <row r="799" ht="14.1" hidden="1" customHeight="1" x14ac:dyDescent="0.2"/>
    <row r="800" ht="14.1" hidden="1" customHeight="1" x14ac:dyDescent="0.2"/>
    <row r="801" ht="14.1" hidden="1" customHeight="1" x14ac:dyDescent="0.2"/>
    <row r="802" ht="14.1" hidden="1" customHeight="1" x14ac:dyDescent="0.2"/>
    <row r="803" ht="14.1" hidden="1" customHeight="1" x14ac:dyDescent="0.2"/>
    <row r="804" ht="14.1" hidden="1" customHeight="1" x14ac:dyDescent="0.2"/>
    <row r="805" ht="14.1" hidden="1" customHeight="1" x14ac:dyDescent="0.2"/>
    <row r="806" ht="14.1" hidden="1" customHeight="1" x14ac:dyDescent="0.2"/>
    <row r="807" ht="14.1" hidden="1" customHeight="1" x14ac:dyDescent="0.2"/>
    <row r="808" ht="14.1" hidden="1" customHeight="1" x14ac:dyDescent="0.2"/>
    <row r="809" ht="14.1" hidden="1" customHeight="1" x14ac:dyDescent="0.2"/>
    <row r="810" ht="14.1" hidden="1" customHeight="1" x14ac:dyDescent="0.2"/>
    <row r="811" ht="14.1" hidden="1" customHeight="1" x14ac:dyDescent="0.2"/>
    <row r="812" ht="14.1" hidden="1" customHeight="1" x14ac:dyDescent="0.2"/>
    <row r="813" ht="14.1" hidden="1" customHeight="1" x14ac:dyDescent="0.2"/>
    <row r="814" ht="14.1" hidden="1" customHeight="1" x14ac:dyDescent="0.2"/>
    <row r="815" ht="14.1" hidden="1" customHeight="1" x14ac:dyDescent="0.2"/>
    <row r="816" ht="14.1" hidden="1" customHeight="1" x14ac:dyDescent="0.2"/>
    <row r="817" ht="14.1" hidden="1" customHeight="1" x14ac:dyDescent="0.2"/>
    <row r="818" ht="14.1" hidden="1" customHeight="1" x14ac:dyDescent="0.2"/>
    <row r="819" ht="14.1" hidden="1" customHeight="1" x14ac:dyDescent="0.2"/>
    <row r="820" ht="14.1" hidden="1" customHeight="1" x14ac:dyDescent="0.2"/>
    <row r="821" ht="14.1" hidden="1" customHeight="1" x14ac:dyDescent="0.2"/>
    <row r="822" ht="14.1" hidden="1" customHeight="1" x14ac:dyDescent="0.2"/>
    <row r="823" ht="14.1" hidden="1" customHeight="1" x14ac:dyDescent="0.2"/>
    <row r="824" ht="14.1" hidden="1" customHeight="1" x14ac:dyDescent="0.2"/>
    <row r="825" ht="14.1" hidden="1" customHeight="1" x14ac:dyDescent="0.2"/>
    <row r="826" ht="14.1" hidden="1" customHeight="1" x14ac:dyDescent="0.2"/>
    <row r="827" ht="14.1" hidden="1" customHeight="1" x14ac:dyDescent="0.2"/>
    <row r="828" ht="14.1" hidden="1" customHeight="1" x14ac:dyDescent="0.2"/>
    <row r="829" ht="14.1" hidden="1" customHeight="1" x14ac:dyDescent="0.2"/>
    <row r="830" ht="14.1" hidden="1" customHeight="1" x14ac:dyDescent="0.2"/>
    <row r="831" ht="14.1" hidden="1" customHeight="1" x14ac:dyDescent="0.2"/>
    <row r="832" ht="14.1" hidden="1" customHeight="1" x14ac:dyDescent="0.2"/>
    <row r="833" ht="14.1" hidden="1" customHeight="1" x14ac:dyDescent="0.2"/>
    <row r="834" ht="14.1" hidden="1" customHeight="1" x14ac:dyDescent="0.2"/>
    <row r="835" ht="14.1" hidden="1" customHeight="1" x14ac:dyDescent="0.2"/>
    <row r="836" ht="14.1" hidden="1" customHeight="1" x14ac:dyDescent="0.2"/>
    <row r="837" ht="14.1" hidden="1" customHeight="1" x14ac:dyDescent="0.2"/>
    <row r="838" ht="14.1" hidden="1" customHeight="1" x14ac:dyDescent="0.2"/>
    <row r="839" ht="14.1" hidden="1" customHeight="1" x14ac:dyDescent="0.2"/>
    <row r="840" ht="14.1" hidden="1" customHeight="1" x14ac:dyDescent="0.2"/>
    <row r="841" ht="14.1" hidden="1" customHeight="1" x14ac:dyDescent="0.2"/>
    <row r="842" ht="14.1" hidden="1" customHeight="1" x14ac:dyDescent="0.2"/>
    <row r="843" ht="14.1" hidden="1" customHeight="1" x14ac:dyDescent="0.2"/>
    <row r="844" ht="14.1" hidden="1" customHeight="1" x14ac:dyDescent="0.2"/>
    <row r="845" ht="14.1" hidden="1" customHeight="1" x14ac:dyDescent="0.2"/>
    <row r="846" ht="14.1" hidden="1" customHeight="1" x14ac:dyDescent="0.2"/>
    <row r="847" ht="14.1" hidden="1" customHeight="1" x14ac:dyDescent="0.2"/>
    <row r="848" ht="14.1" hidden="1" customHeight="1" x14ac:dyDescent="0.2"/>
    <row r="849" ht="14.1" hidden="1" customHeight="1" x14ac:dyDescent="0.2"/>
    <row r="850" ht="14.1" hidden="1" customHeight="1" x14ac:dyDescent="0.2"/>
    <row r="851" ht="14.1" hidden="1" customHeight="1" x14ac:dyDescent="0.2"/>
    <row r="852" ht="14.1" hidden="1" customHeight="1" x14ac:dyDescent="0.2"/>
    <row r="853" ht="14.1" hidden="1" customHeight="1" x14ac:dyDescent="0.2"/>
    <row r="854" ht="14.1" hidden="1" customHeight="1" x14ac:dyDescent="0.2"/>
    <row r="855" ht="14.1" hidden="1" customHeight="1" x14ac:dyDescent="0.2"/>
    <row r="856" ht="14.1" hidden="1" customHeight="1" x14ac:dyDescent="0.2"/>
    <row r="857" ht="14.1" hidden="1" customHeight="1" x14ac:dyDescent="0.2"/>
    <row r="858" ht="14.1" hidden="1" customHeight="1" x14ac:dyDescent="0.2"/>
    <row r="859" ht="14.1" hidden="1" customHeight="1" x14ac:dyDescent="0.2"/>
    <row r="860" ht="14.1" hidden="1" customHeight="1" x14ac:dyDescent="0.2"/>
    <row r="861" ht="14.1" hidden="1" customHeight="1" x14ac:dyDescent="0.2"/>
    <row r="862" ht="14.1" hidden="1" customHeight="1" x14ac:dyDescent="0.2"/>
    <row r="863" ht="14.1" hidden="1" customHeight="1" x14ac:dyDescent="0.2"/>
    <row r="864" ht="14.1" hidden="1" customHeight="1" x14ac:dyDescent="0.2"/>
    <row r="865" ht="14.1" hidden="1" customHeight="1" x14ac:dyDescent="0.2"/>
    <row r="866" ht="14.1" hidden="1" customHeight="1" x14ac:dyDescent="0.2"/>
    <row r="867" ht="14.1" hidden="1" customHeight="1" x14ac:dyDescent="0.2"/>
    <row r="868" ht="14.1" hidden="1" customHeight="1" x14ac:dyDescent="0.2"/>
    <row r="869" ht="14.1" hidden="1" customHeight="1" x14ac:dyDescent="0.2"/>
    <row r="870" ht="14.1" hidden="1" customHeight="1" x14ac:dyDescent="0.2"/>
    <row r="871" ht="14.1" hidden="1" customHeight="1" x14ac:dyDescent="0.2"/>
    <row r="872" ht="14.1" hidden="1" customHeight="1" x14ac:dyDescent="0.2"/>
    <row r="873" ht="14.1" hidden="1" customHeight="1" x14ac:dyDescent="0.2"/>
    <row r="874" ht="14.1" hidden="1" customHeight="1" x14ac:dyDescent="0.2"/>
    <row r="875" ht="14.1" hidden="1" customHeight="1" x14ac:dyDescent="0.2"/>
    <row r="876" ht="14.1" hidden="1" customHeight="1" x14ac:dyDescent="0.2"/>
    <row r="877" ht="14.1" hidden="1" customHeight="1" x14ac:dyDescent="0.2"/>
    <row r="878" ht="14.1" hidden="1" customHeight="1" x14ac:dyDescent="0.2"/>
    <row r="879" ht="14.1" hidden="1" customHeight="1" x14ac:dyDescent="0.2"/>
    <row r="880" ht="14.1" hidden="1" customHeight="1" x14ac:dyDescent="0.2"/>
    <row r="881" ht="14.1" hidden="1" customHeight="1" x14ac:dyDescent="0.2"/>
    <row r="882" ht="14.1" hidden="1" customHeight="1" x14ac:dyDescent="0.2"/>
    <row r="883" ht="14.1" hidden="1" customHeight="1" x14ac:dyDescent="0.2"/>
    <row r="884" ht="14.1" hidden="1" customHeight="1" x14ac:dyDescent="0.2"/>
    <row r="885" ht="14.1" hidden="1" customHeight="1" x14ac:dyDescent="0.2"/>
    <row r="886" ht="14.1" hidden="1" customHeight="1" x14ac:dyDescent="0.2"/>
    <row r="887" ht="14.1" hidden="1" customHeight="1" x14ac:dyDescent="0.2"/>
    <row r="888" ht="14.1" hidden="1" customHeight="1" x14ac:dyDescent="0.2"/>
    <row r="889" ht="14.1" hidden="1" customHeight="1" x14ac:dyDescent="0.2"/>
    <row r="890" ht="14.1" hidden="1" customHeight="1" x14ac:dyDescent="0.2"/>
    <row r="891" ht="14.1" hidden="1" customHeight="1" x14ac:dyDescent="0.2"/>
    <row r="892" ht="14.1" hidden="1" customHeight="1" x14ac:dyDescent="0.2"/>
    <row r="893" ht="14.1" hidden="1" customHeight="1" x14ac:dyDescent="0.2"/>
    <row r="894" ht="14.1" hidden="1" customHeight="1" x14ac:dyDescent="0.2"/>
    <row r="895" ht="14.1" hidden="1" customHeight="1" x14ac:dyDescent="0.2"/>
    <row r="896" ht="14.1" hidden="1" customHeight="1" x14ac:dyDescent="0.2"/>
    <row r="897" ht="14.1" hidden="1" customHeight="1" x14ac:dyDescent="0.2"/>
    <row r="898" ht="14.1" hidden="1" customHeight="1" x14ac:dyDescent="0.2"/>
    <row r="899" ht="14.1" hidden="1" customHeight="1" x14ac:dyDescent="0.2"/>
    <row r="900" ht="14.1" hidden="1" customHeight="1" x14ac:dyDescent="0.2"/>
    <row r="901" ht="14.1" hidden="1" customHeight="1" x14ac:dyDescent="0.2"/>
    <row r="902" ht="14.1" hidden="1" customHeight="1" x14ac:dyDescent="0.2"/>
    <row r="903" ht="14.1" hidden="1" customHeight="1" x14ac:dyDescent="0.2"/>
    <row r="904" ht="14.1" hidden="1" customHeight="1" x14ac:dyDescent="0.2"/>
    <row r="905" ht="14.1" hidden="1" customHeight="1" x14ac:dyDescent="0.2"/>
    <row r="906" ht="14.1" hidden="1" customHeight="1" x14ac:dyDescent="0.2"/>
    <row r="907" ht="14.1" hidden="1" customHeight="1" x14ac:dyDescent="0.2"/>
    <row r="908" ht="14.1" hidden="1" customHeight="1" x14ac:dyDescent="0.2"/>
    <row r="909" ht="14.1" hidden="1" customHeight="1" x14ac:dyDescent="0.2"/>
    <row r="910" ht="14.1" hidden="1" customHeight="1" x14ac:dyDescent="0.2"/>
    <row r="911" ht="14.1" hidden="1" customHeight="1" x14ac:dyDescent="0.2"/>
    <row r="912" ht="14.1" hidden="1" customHeight="1" x14ac:dyDescent="0.2"/>
    <row r="913" ht="14.1" hidden="1" customHeight="1" x14ac:dyDescent="0.2"/>
    <row r="914" ht="14.1" hidden="1" customHeight="1" x14ac:dyDescent="0.2"/>
    <row r="915" ht="14.1" hidden="1" customHeight="1" x14ac:dyDescent="0.2"/>
    <row r="916" ht="14.1" hidden="1" customHeight="1" x14ac:dyDescent="0.2"/>
    <row r="917" ht="14.1" hidden="1" customHeight="1" x14ac:dyDescent="0.2"/>
    <row r="918" ht="14.1" hidden="1" customHeight="1" x14ac:dyDescent="0.2"/>
    <row r="919" ht="14.1" hidden="1" customHeight="1" x14ac:dyDescent="0.2"/>
    <row r="920" ht="14.1" hidden="1" customHeight="1" x14ac:dyDescent="0.2"/>
    <row r="921" ht="14.1" hidden="1" customHeight="1" x14ac:dyDescent="0.2"/>
    <row r="922" ht="14.1" hidden="1" customHeight="1" x14ac:dyDescent="0.2"/>
    <row r="923" ht="14.1" hidden="1" customHeight="1" x14ac:dyDescent="0.2"/>
    <row r="924" ht="14.1" hidden="1" customHeight="1" x14ac:dyDescent="0.2"/>
    <row r="925" ht="14.1" hidden="1" customHeight="1" x14ac:dyDescent="0.2"/>
    <row r="926" ht="14.1" hidden="1" customHeight="1" x14ac:dyDescent="0.2"/>
    <row r="927" ht="14.1" hidden="1" customHeight="1" x14ac:dyDescent="0.2"/>
    <row r="928" ht="14.1" hidden="1" customHeight="1" x14ac:dyDescent="0.2"/>
    <row r="929" ht="14.1" hidden="1" customHeight="1" x14ac:dyDescent="0.2"/>
    <row r="930" ht="14.1" hidden="1" customHeight="1" x14ac:dyDescent="0.2"/>
    <row r="931" ht="14.1" hidden="1" customHeight="1" x14ac:dyDescent="0.2"/>
    <row r="932" ht="14.1" hidden="1" customHeight="1" x14ac:dyDescent="0.2"/>
    <row r="933" ht="14.1" hidden="1" customHeight="1" x14ac:dyDescent="0.2"/>
    <row r="934" ht="14.1" hidden="1" customHeight="1" x14ac:dyDescent="0.2"/>
    <row r="935" ht="14.1" hidden="1" customHeight="1" x14ac:dyDescent="0.2"/>
    <row r="936" ht="14.1" hidden="1" customHeight="1" x14ac:dyDescent="0.2"/>
    <row r="937" ht="14.1" hidden="1" customHeight="1" x14ac:dyDescent="0.2"/>
    <row r="938" ht="14.1" hidden="1" customHeight="1" x14ac:dyDescent="0.2"/>
    <row r="939" ht="14.1" hidden="1" customHeight="1" x14ac:dyDescent="0.2"/>
    <row r="940" ht="14.1" hidden="1" customHeight="1" x14ac:dyDescent="0.2"/>
    <row r="941" ht="14.1" hidden="1" customHeight="1" x14ac:dyDescent="0.2"/>
    <row r="942" ht="14.1" hidden="1" customHeight="1" x14ac:dyDescent="0.2"/>
    <row r="943" ht="14.1" hidden="1" customHeight="1" x14ac:dyDescent="0.2"/>
    <row r="944" ht="14.1" hidden="1" customHeight="1" x14ac:dyDescent="0.2"/>
    <row r="945" ht="14.1" hidden="1" customHeight="1" x14ac:dyDescent="0.2"/>
    <row r="946" ht="14.1" hidden="1" customHeight="1" x14ac:dyDescent="0.2"/>
    <row r="947" ht="14.1" hidden="1" customHeight="1" x14ac:dyDescent="0.2"/>
    <row r="948" ht="14.1" hidden="1" customHeight="1" x14ac:dyDescent="0.2"/>
    <row r="949" ht="14.1" hidden="1" customHeight="1" x14ac:dyDescent="0.2"/>
    <row r="950" ht="14.1" hidden="1" customHeight="1" x14ac:dyDescent="0.2"/>
    <row r="951" ht="14.1" hidden="1" customHeight="1" x14ac:dyDescent="0.2"/>
    <row r="952" ht="14.1" hidden="1" customHeight="1" x14ac:dyDescent="0.2"/>
    <row r="953" ht="14.1" hidden="1" customHeight="1" x14ac:dyDescent="0.2"/>
    <row r="954" ht="14.1" hidden="1" customHeight="1" x14ac:dyDescent="0.2"/>
    <row r="955" ht="14.1" hidden="1" customHeight="1" x14ac:dyDescent="0.2"/>
    <row r="956" ht="14.1" hidden="1" customHeight="1" x14ac:dyDescent="0.2"/>
    <row r="957" ht="14.1" hidden="1" customHeight="1" x14ac:dyDescent="0.2"/>
    <row r="958" ht="14.1" hidden="1" customHeight="1" x14ac:dyDescent="0.2"/>
    <row r="959" ht="14.1" hidden="1" customHeight="1" x14ac:dyDescent="0.2"/>
    <row r="960" ht="14.1" hidden="1" customHeight="1" x14ac:dyDescent="0.2"/>
    <row r="961" ht="14.1" hidden="1" customHeight="1" x14ac:dyDescent="0.2"/>
    <row r="962" ht="14.1" hidden="1" customHeight="1" x14ac:dyDescent="0.2"/>
    <row r="963" ht="14.1" hidden="1" customHeight="1" x14ac:dyDescent="0.2"/>
    <row r="964" ht="14.1" hidden="1" customHeight="1" x14ac:dyDescent="0.2"/>
    <row r="965" ht="14.1" hidden="1" customHeight="1" x14ac:dyDescent="0.2"/>
    <row r="966" ht="14.1" hidden="1" customHeight="1" x14ac:dyDescent="0.2"/>
    <row r="967" ht="14.1" hidden="1" customHeight="1" x14ac:dyDescent="0.2"/>
    <row r="968" ht="14.1" hidden="1" customHeight="1" x14ac:dyDescent="0.2"/>
    <row r="969" ht="14.1" hidden="1" customHeight="1" x14ac:dyDescent="0.2"/>
    <row r="970" ht="14.1" hidden="1" customHeight="1" x14ac:dyDescent="0.2"/>
    <row r="971" ht="14.1" hidden="1" customHeight="1" x14ac:dyDescent="0.2"/>
    <row r="972" ht="14.1" hidden="1" customHeight="1" x14ac:dyDescent="0.2"/>
    <row r="973" ht="14.1" hidden="1" customHeight="1" x14ac:dyDescent="0.2"/>
    <row r="974" ht="14.1" hidden="1" customHeight="1" x14ac:dyDescent="0.2"/>
    <row r="975" ht="14.1" hidden="1" customHeight="1" x14ac:dyDescent="0.2"/>
  </sheetData>
  <sheetProtection algorithmName="SHA-512" hashValue="+1lF48xnw9pPVcHA3iHKgjwOqXbuVdu5qQKTbt/FerMQsB/rRUSiReGf9xG2fRNmFBaLxqiYKFTdSf509fqrig==" saltValue="k2LQN7lgOwHfqnmpOC85lQ==" spinCount="100000" sheet="1" objects="1" scenarios="1" selectLockedCells="1" autoFilter="0"/>
  <mergeCells count="22">
    <mergeCell ref="H5:J5"/>
    <mergeCell ref="B6:C6"/>
    <mergeCell ref="E6:F6"/>
    <mergeCell ref="H6:J6"/>
    <mergeCell ref="B11:C11"/>
    <mergeCell ref="E11:F11"/>
    <mergeCell ref="H7:J7"/>
    <mergeCell ref="B9:E9"/>
    <mergeCell ref="E10:F10"/>
    <mergeCell ref="B2:G2"/>
    <mergeCell ref="B5:C5"/>
    <mergeCell ref="E5:F5"/>
    <mergeCell ref="B7:C7"/>
    <mergeCell ref="E7:F7"/>
    <mergeCell ref="B76:I76"/>
    <mergeCell ref="F77:H77"/>
    <mergeCell ref="B21:E21"/>
    <mergeCell ref="E22:F22"/>
    <mergeCell ref="B32:F32"/>
    <mergeCell ref="E43:G43"/>
    <mergeCell ref="H43:K43"/>
    <mergeCell ref="B69:E69"/>
  </mergeCells>
  <conditionalFormatting sqref="B26:K27 B29:K30 B17:K17 B24:K24 B35:K35">
    <cfRule type="expression" dxfId="31" priority="8">
      <formula>OR(_Dach_Typ="Fdg",_Dach_Typ="Fd")</formula>
    </cfRule>
  </conditionalFormatting>
  <conditionalFormatting sqref="B39:K39">
    <cfRule type="expression" dxfId="30" priority="5">
      <formula>AND(ISNUMBER($E$38),OR($E$27&gt;0,$E$30&gt;0))</formula>
    </cfRule>
  </conditionalFormatting>
  <conditionalFormatting sqref="E17">
    <cfRule type="expression" dxfId="29" priority="2">
      <formula>OR(_Dach_Typ="Fd",_Dach_Typ="Fdg")</formula>
    </cfRule>
  </conditionalFormatting>
  <conditionalFormatting sqref="E39">
    <cfRule type="expression" dxfId="28" priority="6">
      <formula>AND(ISNUMBER($E$38),OR($E$27&gt;0,$E$30&gt;0))</formula>
    </cfRule>
  </conditionalFormatting>
  <conditionalFormatting sqref="G26 G29">
    <cfRule type="expression" dxfId="27" priority="7">
      <formula>OR(_Dach_Typ="Fdg",_Dach_Typ="Fd")</formula>
    </cfRule>
  </conditionalFormatting>
  <conditionalFormatting sqref="G40">
    <cfRule type="expression" dxfId="26" priority="3">
      <formula>$E$40=0</formula>
    </cfRule>
  </conditionalFormatting>
  <conditionalFormatting sqref="G41">
    <cfRule type="expression" dxfId="25" priority="4">
      <formula>$E$41=0</formula>
    </cfRule>
  </conditionalFormatting>
  <conditionalFormatting sqref="G26:I26 G29:I29">
    <cfRule type="expression" dxfId="24" priority="1">
      <formula>$G26&gt;$E25</formula>
    </cfRule>
  </conditionalFormatting>
  <dataValidations count="6">
    <dataValidation type="custom" allowBlank="1" showInputMessage="1" showErrorMessage="1" errorTitle="Falsche Eingabe" error="Feld nur für Dachtyp Flachdach / Flachdach begrünt ausfüllen_x000a__x000a_Diese Zahl muss kleiner oder gleich wie die Stückzahl vom gestzlichen Minimum sein." sqref="G29" xr:uid="{3AEBF837-90EA-46D4-B86D-8A92FBC64AA2}">
      <formula1>AND(G29&lt;=E28,G29&gt;0)</formula1>
    </dataValidation>
    <dataValidation type="custom" allowBlank="1" showInputMessage="1" showErrorMessage="1" errorTitle="Unzulässige Eingabe" error="Der Wert muss kleiner der Stückzahl der technischen Vollbelegung sein." sqref="E28" xr:uid="{CA17A507-6E4E-44BD-B1EC-E19974D8544D}">
      <formula1>E28&lt;=E25</formula1>
    </dataValidation>
    <dataValidation type="custom" allowBlank="1" showErrorMessage="1" errorTitle="Falsche Eingabe" error="Feld nur für Dachtyp Flachdach / Flachdach begrünt ausfüllen_x000a__x000a_Diese Zahl muss kleiner oder gleich wie die Stückzahl der technischen Vollbelegung sein." promptTitle="Nur bei Flachdach erforderlich" sqref="G26" xr:uid="{A7CB2E97-87AD-4EAA-944D-0DBE16A49802}">
      <formula1>AND(G26&lt;=E25,G26&gt;0)</formula1>
    </dataValidation>
    <dataValidation type="list" allowBlank="1" showInputMessage="1" showErrorMessage="1" sqref="E22" xr:uid="{31684571-F0AA-4075-B731-4A7E9D78501B}">
      <formula1>$G$22:$H$22</formula1>
    </dataValidation>
    <dataValidation type="list" allowBlank="1" showInputMessage="1" showErrorMessage="1" sqref="E11" xr:uid="{E7B82D6C-F72B-49C6-83E0-A8567DBCFC34}">
      <formula1>_Liste_Dachtypen</formula1>
    </dataValidation>
    <dataValidation type="list" allowBlank="1" showInputMessage="1" showErrorMessage="1" sqref="E16:E17" xr:uid="{3F8F5254-FB15-4237-8840-8D86542EC121}">
      <formula1>_Liste_Blendung</formula1>
    </dataValidation>
  </dataValidations>
  <pageMargins left="0.55118110236220474" right="0.51181102362204722" top="0.74803149606299213" bottom="0.70866141732283472" header="0.31496062992125984" footer="0.31496062992125984"/>
  <pageSetup paperSize="9" scale="65" fitToHeight="0" orientation="portrait" r:id="rId1"/>
  <headerFooter>
    <oddHeader xml:space="preserve">&amp;L&amp;8         Planungshilfe Nachweis wirtschaftliche Unverhältnismässigkeit&amp;R&amp;8Stadt Luzern </oddHeader>
    <oddFooter xml:space="preserve">&amp;L&amp;8         &amp;P | &amp;N&amp;R&amp;8Nächste Revision 12.12.2026 </oddFooter>
    <firstHeader>&amp;L&amp;G</first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E6FCE-273C-4D3F-9B34-13336B9C3715}">
  <sheetPr codeName="Tabelle10">
    <pageSetUpPr fitToPage="1"/>
  </sheetPr>
  <dimension ref="A1:R975"/>
  <sheetViews>
    <sheetView showGridLines="0" view="pageLayout" topLeftCell="A10" zoomScaleNormal="100" zoomScaleSheetLayoutView="100" workbookViewId="0">
      <selection activeCell="E10" sqref="E10:F10"/>
    </sheetView>
  </sheetViews>
  <sheetFormatPr baseColWidth="10" defaultColWidth="0" defaultRowHeight="0" customHeight="1" zeroHeight="1" x14ac:dyDescent="0.2"/>
  <cols>
    <col min="1" max="1" width="3.5703125" style="257" customWidth="1"/>
    <col min="2" max="2" width="8.28515625" customWidth="1"/>
    <col min="3" max="3" width="25.5703125" customWidth="1"/>
    <col min="4" max="4" width="24.140625" style="14" hidden="1" customWidth="1"/>
    <col min="5" max="5" width="15" customWidth="1"/>
    <col min="6" max="6" width="17.5703125" customWidth="1"/>
    <col min="7" max="8" width="14.28515625" customWidth="1"/>
    <col min="9" max="10" width="11.42578125" customWidth="1"/>
    <col min="11" max="11" width="18.42578125" customWidth="1"/>
    <col min="12" max="12" width="6" customWidth="1"/>
    <col min="13" max="13" width="34.28515625" hidden="1" customWidth="1"/>
    <col min="14" max="18" width="0" hidden="1" customWidth="1"/>
    <col min="19" max="16384" width="11.42578125" hidden="1"/>
  </cols>
  <sheetData>
    <row r="1" spans="1:18" ht="12.75" hidden="1" x14ac:dyDescent="0.2">
      <c r="A1" s="262"/>
      <c r="B1" s="14" t="str">
        <f ca="1">MID(CELL("dateiname",B2),SEARCH("]",CELL("dateiname",B2))+1,31)</f>
        <v>Dachfläche (4)</v>
      </c>
      <c r="C1" s="14"/>
      <c r="E1" s="14"/>
      <c r="F1" s="14"/>
      <c r="G1" s="14"/>
      <c r="H1" s="14"/>
      <c r="I1" s="14"/>
      <c r="J1" s="14"/>
      <c r="K1" s="14"/>
    </row>
    <row r="2" spans="1:18" s="12" customFormat="1" ht="21" customHeight="1" x14ac:dyDescent="0.3">
      <c r="A2" s="259"/>
      <c r="B2" s="713" t="str">
        <f t="shared" ref="B2" ca="1" si="0">"Zusammenstellung Kennwerte "&amp;B1</f>
        <v>Zusammenstellung Kennwerte Dachfläche (4)</v>
      </c>
      <c r="C2" s="713"/>
      <c r="D2" s="713"/>
      <c r="E2" s="713"/>
      <c r="F2" s="713"/>
      <c r="G2" s="713"/>
      <c r="N2"/>
      <c r="O2"/>
      <c r="P2"/>
      <c r="Q2"/>
      <c r="R2"/>
    </row>
    <row r="3" spans="1:18" ht="12.75" x14ac:dyDescent="0.2"/>
    <row r="4" spans="1:18" s="12" customFormat="1" ht="20.25" x14ac:dyDescent="0.3">
      <c r="A4" s="259"/>
      <c r="B4" s="286" t="s">
        <v>26</v>
      </c>
      <c r="D4" s="150"/>
      <c r="N4"/>
      <c r="O4"/>
      <c r="P4"/>
      <c r="Q4"/>
      <c r="R4"/>
    </row>
    <row r="5" spans="1:18" s="16" customFormat="1" ht="19.899999999999999" customHeight="1" x14ac:dyDescent="0.25">
      <c r="A5" s="260"/>
      <c r="B5" s="684" t="str">
        <f>'3 Bericht'!B2</f>
        <v>Projektname</v>
      </c>
      <c r="C5" s="685"/>
      <c r="D5" s="509"/>
      <c r="E5" s="714">
        <f>_Projektname</f>
        <v>0</v>
      </c>
      <c r="F5" s="715"/>
      <c r="G5" s="575"/>
      <c r="H5" s="706" t="str">
        <f>'3 Bericht'!J2</f>
        <v>Netzversorger</v>
      </c>
      <c r="I5" s="707"/>
      <c r="J5" s="707"/>
      <c r="K5" s="510">
        <f>_Netzversorger</f>
        <v>0</v>
      </c>
    </row>
    <row r="6" spans="1:18" s="16" customFormat="1" ht="19.899999999999999" customHeight="1" x14ac:dyDescent="0.25">
      <c r="A6" s="260"/>
      <c r="B6" s="686" t="str">
        <f>'3 Bericht'!B3</f>
        <v>Adresse</v>
      </c>
      <c r="C6" s="687"/>
      <c r="D6" s="511"/>
      <c r="E6" s="694">
        <f>_Adresse</f>
        <v>0</v>
      </c>
      <c r="F6" s="695"/>
      <c r="G6" s="575"/>
      <c r="H6" s="708" t="str">
        <f>'3 Bericht'!J3</f>
        <v>Fertigstellung (geplant)</v>
      </c>
      <c r="I6" s="709"/>
      <c r="J6" s="709"/>
      <c r="K6" s="512">
        <f>_Datum_IBS</f>
        <v>0</v>
      </c>
    </row>
    <row r="7" spans="1:18" s="16" customFormat="1" ht="19.899999999999999" customHeight="1" x14ac:dyDescent="0.25">
      <c r="A7" s="260"/>
      <c r="B7" s="686" t="str">
        <f>'3 Bericht'!B4</f>
        <v>PLZ Ort</v>
      </c>
      <c r="C7" s="687"/>
      <c r="D7" s="511"/>
      <c r="E7" s="694">
        <f>_PLZ</f>
        <v>0</v>
      </c>
      <c r="F7" s="695"/>
      <c r="G7" s="575"/>
      <c r="H7" s="708" t="str">
        <f>'3 Bericht'!J5</f>
        <v>MWSt. pflichtig</v>
      </c>
      <c r="I7" s="709"/>
      <c r="J7" s="709"/>
      <c r="K7" s="513" t="str">
        <f>'3 Bericht'!M5</f>
        <v>Nein</v>
      </c>
    </row>
    <row r="8" spans="1:18" ht="12.75" x14ac:dyDescent="0.2"/>
    <row r="9" spans="1:18" s="12" customFormat="1" ht="20.25" x14ac:dyDescent="0.3">
      <c r="A9" s="259"/>
      <c r="B9" s="679" t="s">
        <v>66</v>
      </c>
      <c r="C9" s="679"/>
      <c r="D9" s="679"/>
      <c r="E9" s="679"/>
      <c r="M9" s="16"/>
      <c r="N9"/>
      <c r="O9"/>
      <c r="P9"/>
      <c r="Q9"/>
      <c r="R9"/>
    </row>
    <row r="10" spans="1:18" s="16" customFormat="1" ht="19.899999999999999" customHeight="1" x14ac:dyDescent="0.25">
      <c r="A10" s="260"/>
      <c r="B10" s="303" t="s">
        <v>80</v>
      </c>
      <c r="C10" s="303"/>
      <c r="D10" s="516" t="s">
        <v>113</v>
      </c>
      <c r="E10" s="716"/>
      <c r="F10" s="716"/>
      <c r="G10" s="517"/>
      <c r="H10" s="303"/>
      <c r="I10" s="303"/>
      <c r="J10" s="303"/>
      <c r="K10" s="303"/>
    </row>
    <row r="11" spans="1:18" s="16" customFormat="1" ht="19.899999999999999" customHeight="1" x14ac:dyDescent="0.25">
      <c r="A11" s="260"/>
      <c r="B11" s="710" t="s">
        <v>251</v>
      </c>
      <c r="C11" s="710"/>
      <c r="D11" s="516" t="s">
        <v>418</v>
      </c>
      <c r="E11" s="711"/>
      <c r="F11" s="712"/>
      <c r="G11" s="303" t="s">
        <v>541</v>
      </c>
      <c r="H11" s="303"/>
      <c r="I11" s="303"/>
      <c r="J11" s="303"/>
      <c r="K11" s="303"/>
    </row>
    <row r="12" spans="1:18" s="21" customFormat="1" ht="19.899999999999999" hidden="1" customHeight="1" x14ac:dyDescent="0.25">
      <c r="A12" s="261"/>
      <c r="B12" s="518"/>
      <c r="C12" s="518"/>
      <c r="D12" s="516" t="s">
        <v>270</v>
      </c>
      <c r="E12" s="519" t="str">
        <f>IFERROR(VLOOKUP(E11,Basisdaten!B151:C154,2,FALSE),"")</f>
        <v/>
      </c>
      <c r="F12" s="520"/>
      <c r="G12" s="516"/>
      <c r="H12" s="516"/>
      <c r="I12" s="516"/>
      <c r="J12" s="516"/>
      <c r="K12" s="516"/>
      <c r="L12" s="16"/>
    </row>
    <row r="13" spans="1:18" s="16" customFormat="1" ht="19.899999999999999" customHeight="1" x14ac:dyDescent="0.25">
      <c r="A13" s="260"/>
      <c r="B13" s="303" t="s">
        <v>278</v>
      </c>
      <c r="C13" s="303"/>
      <c r="D13" s="516" t="s">
        <v>100</v>
      </c>
      <c r="E13" s="521"/>
      <c r="F13" s="522" t="s">
        <v>542</v>
      </c>
      <c r="G13" s="303" t="s">
        <v>279</v>
      </c>
      <c r="H13" s="303"/>
      <c r="I13" s="303"/>
      <c r="J13" s="303"/>
      <c r="K13" s="303"/>
    </row>
    <row r="14" spans="1:18" s="16" customFormat="1" ht="19.899999999999999" customHeight="1" x14ac:dyDescent="0.25">
      <c r="A14" s="260"/>
      <c r="B14" s="297" t="str">
        <f>IF(OR(_Dach_Typ="Fdg",_Dach_Typ="Fd"),"Hauptausrichtung","Ausrichtung")</f>
        <v>Ausrichtung</v>
      </c>
      <c r="C14" s="297"/>
      <c r="D14" s="437" t="s">
        <v>34</v>
      </c>
      <c r="E14" s="523"/>
      <c r="F14" s="524" t="s">
        <v>46</v>
      </c>
      <c r="G14" s="297" t="s">
        <v>58</v>
      </c>
      <c r="H14" s="297"/>
      <c r="I14" s="297"/>
      <c r="J14" s="297"/>
      <c r="K14" s="297"/>
    </row>
    <row r="15" spans="1:18" s="16" customFormat="1" ht="19.899999999999999" customHeight="1" x14ac:dyDescent="0.25">
      <c r="A15" s="260"/>
      <c r="B15" s="297" t="str">
        <f>IF(OR(_Dach_Typ="Fdg",_Dach_Typ="Fd"),"Modulneigung","Dachneigung")</f>
        <v>Dachneigung</v>
      </c>
      <c r="C15" s="297"/>
      <c r="D15" s="437" t="s">
        <v>35</v>
      </c>
      <c r="E15" s="523"/>
      <c r="F15" s="524" t="s">
        <v>46</v>
      </c>
      <c r="G15" s="297" t="s">
        <v>59</v>
      </c>
      <c r="H15" s="297"/>
      <c r="I15" s="297"/>
      <c r="J15" s="297"/>
      <c r="K15" s="297"/>
    </row>
    <row r="16" spans="1:18" s="16" customFormat="1" ht="19.899999999999999" customHeight="1" x14ac:dyDescent="0.25">
      <c r="A16" s="260"/>
      <c r="B16" s="297" t="str">
        <f>IF(OR(_Dach_Typ="Fdg",_Dach_Typ="Fd"),"Blendung in Hauptausrichtung","Blendung")</f>
        <v>Blendung</v>
      </c>
      <c r="C16" s="297"/>
      <c r="D16" s="437" t="s">
        <v>305</v>
      </c>
      <c r="E16" s="525"/>
      <c r="F16" s="524"/>
      <c r="G16" s="297" t="str">
        <f>IFERROR(VLOOKUP(E16,_Reflektionstyp,2,FALSE),"Abklärung erforderlich")</f>
        <v>Abklärung erforderlich</v>
      </c>
      <c r="H16" s="297"/>
      <c r="I16" s="297"/>
      <c r="J16" s="297"/>
      <c r="K16" s="297"/>
      <c r="M16" s="218"/>
    </row>
    <row r="17" spans="1:18" s="16" customFormat="1" ht="19.899999999999999" customHeight="1" x14ac:dyDescent="0.25">
      <c r="A17" s="260"/>
      <c r="B17" s="526" t="s">
        <v>307</v>
      </c>
      <c r="C17" s="527"/>
      <c r="D17" s="528" t="s">
        <v>306</v>
      </c>
      <c r="E17" s="529" t="s">
        <v>274</v>
      </c>
      <c r="F17" s="530"/>
      <c r="G17" s="527" t="str">
        <f>IFERROR(VLOOKUP(E17,_Reflektionstyp,2,FALSE),"Abklärung erforderlich")</f>
        <v>Reflektionen klären! (unkritisch / kritisch)</v>
      </c>
      <c r="H17" s="527"/>
      <c r="I17" s="527"/>
      <c r="J17" s="527"/>
      <c r="K17" s="527"/>
    </row>
    <row r="18" spans="1:18" s="14" customFormat="1" ht="15" hidden="1" customHeight="1" x14ac:dyDescent="0.2">
      <c r="A18" s="262"/>
      <c r="C18" s="14" t="s">
        <v>65</v>
      </c>
      <c r="E18" s="14">
        <f>RADIANS(E14)</f>
        <v>0</v>
      </c>
      <c r="L18"/>
    </row>
    <row r="19" spans="1:18" s="14" customFormat="1" ht="12.75" hidden="1" x14ac:dyDescent="0.2">
      <c r="A19" s="262"/>
      <c r="C19" s="14" t="s">
        <v>62</v>
      </c>
      <c r="E19" s="14">
        <f>IF(_Dach_Typ=INDEX(_Liste_Dachtypen,1),0,-RADIANS(E15))</f>
        <v>0</v>
      </c>
      <c r="L19"/>
    </row>
    <row r="20" spans="1:18" ht="12.75" x14ac:dyDescent="0.2"/>
    <row r="21" spans="1:18" s="12" customFormat="1" ht="20.25" x14ac:dyDescent="0.3">
      <c r="A21" s="259"/>
      <c r="B21" s="679" t="s">
        <v>42</v>
      </c>
      <c r="C21" s="679"/>
      <c r="D21" s="679"/>
      <c r="E21" s="679"/>
      <c r="N21"/>
      <c r="O21"/>
      <c r="P21"/>
      <c r="Q21"/>
      <c r="R21"/>
    </row>
    <row r="22" spans="1:18" s="16" customFormat="1" ht="19.899999999999999" customHeight="1" x14ac:dyDescent="0.25">
      <c r="A22" s="260"/>
      <c r="B22" s="303" t="s">
        <v>43</v>
      </c>
      <c r="C22" s="303"/>
      <c r="D22" s="516" t="s">
        <v>67</v>
      </c>
      <c r="E22" s="718"/>
      <c r="F22" s="718"/>
      <c r="G22" s="303" t="s">
        <v>84</v>
      </c>
      <c r="H22" s="303" t="s">
        <v>85</v>
      </c>
      <c r="I22" s="303"/>
      <c r="J22" s="303"/>
      <c r="K22" s="303"/>
    </row>
    <row r="23" spans="1:18" s="16" customFormat="1" ht="19.899999999999999" customHeight="1" x14ac:dyDescent="0.25">
      <c r="A23" s="260"/>
      <c r="B23" s="303" t="str">
        <f>IF(OR(_Dach_Typ="Fdg",_Dach_Typ="Fd"),"Modultyp für Hauptausrichtung","Modultyp")</f>
        <v>Modultyp</v>
      </c>
      <c r="C23" s="303"/>
      <c r="D23" s="516" t="s">
        <v>317</v>
      </c>
      <c r="E23" s="504" t="str">
        <f>IF($E16="krit","Blendarm","Standard")</f>
        <v>Standard</v>
      </c>
      <c r="F23" s="531">
        <f>IF(E16="krit",_Modulleistung_Blendarm,_Modulleistung_Standard)</f>
        <v>475</v>
      </c>
      <c r="G23" s="303" t="s">
        <v>50</v>
      </c>
      <c r="H23" s="303"/>
      <c r="I23" s="303"/>
      <c r="J23" s="303"/>
      <c r="K23" s="303"/>
    </row>
    <row r="24" spans="1:18" s="16" customFormat="1" ht="19.899999999999999" customHeight="1" x14ac:dyDescent="0.25">
      <c r="A24" s="260"/>
      <c r="B24" s="527" t="s">
        <v>308</v>
      </c>
      <c r="C24" s="527"/>
      <c r="D24" s="528" t="s">
        <v>318</v>
      </c>
      <c r="E24" s="530" t="str">
        <f>IF($E17="krit","Blendarm","Standard")</f>
        <v>Standard</v>
      </c>
      <c r="F24" s="532" cm="1">
        <f t="array" ref="F24">_xlfn.IFS(_Dach_Typ="Sd",0,_Dach_Typ="Pp",0,TRUE,IF(E17="krit",_Modulleistung_Blendarm,_Modulleistung_Standard))</f>
        <v>475</v>
      </c>
      <c r="G24" s="527" t="s">
        <v>50</v>
      </c>
      <c r="H24" s="527"/>
      <c r="I24" s="527"/>
      <c r="J24" s="527"/>
      <c r="K24" s="527"/>
    </row>
    <row r="25" spans="1:18" s="16" customFormat="1" ht="19.5" customHeight="1" x14ac:dyDescent="0.25">
      <c r="A25" s="260"/>
      <c r="B25" s="533" t="s">
        <v>549</v>
      </c>
      <c r="C25" s="533"/>
      <c r="D25" s="455"/>
      <c r="E25" s="534"/>
      <c r="F25" s="535" t="str">
        <f>IF(OR(_Dach_Typ="Sd",_Dach_Typ="Pp"),"Stk. ("&amp;E23&amp;")","")</f>
        <v/>
      </c>
      <c r="G25" s="533" t="s">
        <v>551</v>
      </c>
      <c r="H25" s="533"/>
      <c r="I25" s="533"/>
      <c r="J25" s="533"/>
      <c r="K25" s="533"/>
    </row>
    <row r="26" spans="1:18" s="151" customFormat="1" ht="19.5" customHeight="1" x14ac:dyDescent="0.2">
      <c r="A26" s="263"/>
      <c r="B26" s="527" t="str">
        <f>"Davon in Hauptausrichtung: "&amp;E14&amp;"°"</f>
        <v>Davon in Hauptausrichtung: °</v>
      </c>
      <c r="C26" s="527"/>
      <c r="D26" s="528" t="s">
        <v>319</v>
      </c>
      <c r="E26" s="536">
        <f>IF(OR(_Dach_Typ="Sd",_Dach_Typ="Pp"),E25,
IF(AND(OR(_Dach_Typ="Fd",_Dach_Typ="Fdg"),OR(ISBLANK(G26),G26&gt;E25)),ROUNDUP(E25/2,0),G26))</f>
        <v>0</v>
      </c>
      <c r="F26" s="530" t="str">
        <f>"Stk. ("&amp;E23&amp;")"</f>
        <v>Stk. (Standard)</v>
      </c>
      <c r="G26" s="537"/>
      <c r="H26" s="530" t="s">
        <v>82</v>
      </c>
      <c r="I26" s="527" t="str">
        <f>IF(G26&gt;E25,"ungültiger Wert","Manuelle Eingabe")</f>
        <v>Manuelle Eingabe</v>
      </c>
      <c r="J26" s="527"/>
      <c r="K26" s="527"/>
      <c r="M26" s="155"/>
    </row>
    <row r="27" spans="1:18" s="151" customFormat="1" ht="19.5" customHeight="1" x14ac:dyDescent="0.2">
      <c r="A27" s="263"/>
      <c r="B27" s="538" t="str">
        <f>"und in Zweitausrichtung: "&amp;E14-180*SIGN(E14)&amp;"°"</f>
        <v>und in Zweitausrichtung: 0°</v>
      </c>
      <c r="C27" s="538"/>
      <c r="D27" s="539" t="s">
        <v>320</v>
      </c>
      <c r="E27" s="540">
        <f>E25-E26</f>
        <v>0</v>
      </c>
      <c r="F27" s="541" t="str">
        <f>"Stk. ("&amp;E24&amp;")"</f>
        <v>Stk. (Standard)</v>
      </c>
      <c r="G27" s="542"/>
      <c r="H27" s="538"/>
      <c r="I27" s="538"/>
      <c r="J27" s="538"/>
      <c r="K27" s="538"/>
      <c r="M27" s="155"/>
    </row>
    <row r="28" spans="1:18" s="16" customFormat="1" ht="19.5" customHeight="1" x14ac:dyDescent="0.25">
      <c r="A28" s="260"/>
      <c r="B28" s="303" t="s">
        <v>550</v>
      </c>
      <c r="C28" s="303"/>
      <c r="D28" s="516"/>
      <c r="E28" s="543">
        <f>E25</f>
        <v>0</v>
      </c>
      <c r="F28" s="535" t="str">
        <f>IF(OR(_Dach_Typ="Sd",_Dach_Typ="Pp"),"Stk. ("&amp;E23&amp;")","")</f>
        <v/>
      </c>
      <c r="G28" s="303" t="s">
        <v>552</v>
      </c>
      <c r="H28" s="303"/>
      <c r="I28" s="303"/>
      <c r="J28" s="303"/>
      <c r="K28" s="303"/>
    </row>
    <row r="29" spans="1:18" s="16" customFormat="1" ht="19.5" customHeight="1" x14ac:dyDescent="0.25">
      <c r="A29" s="260"/>
      <c r="B29" s="527" t="str">
        <f>"Davon in Hauptausrichtung: "&amp;E14&amp;"°"</f>
        <v>Davon in Hauptausrichtung: °</v>
      </c>
      <c r="C29" s="527"/>
      <c r="D29" s="528" t="s">
        <v>321</v>
      </c>
      <c r="E29" s="536">
        <f>IF(OR(_Dach_Typ="Sd",_Dach_Typ="Pp"),E28,
IF(AND(OR(_Dach_Typ="Fd",_Dach_Typ="Fdg"),OR(ISBLANK(G29),G29&gt;E28)),ROUNDUP(E28/2,0),G29))</f>
        <v>0</v>
      </c>
      <c r="F29" s="530" t="str">
        <f>"Stk. ("&amp;E23&amp;")"</f>
        <v>Stk. (Standard)</v>
      </c>
      <c r="G29" s="537"/>
      <c r="H29" s="530" t="s">
        <v>82</v>
      </c>
      <c r="I29" s="527" t="str">
        <f>IF(G29&gt;E28,"ungültiger Wert","Manuelle Eingabe")</f>
        <v>Manuelle Eingabe</v>
      </c>
      <c r="J29" s="527"/>
      <c r="K29" s="527"/>
    </row>
    <row r="30" spans="1:18" s="16" customFormat="1" ht="19.5" customHeight="1" x14ac:dyDescent="0.25">
      <c r="A30" s="260"/>
      <c r="B30" s="527" t="str">
        <f>"und in Zweitausrichtung: "&amp;E14-180*SIGN(E14)&amp;"°"</f>
        <v>und in Zweitausrichtung: 0°</v>
      </c>
      <c r="C30" s="527"/>
      <c r="D30" s="528" t="s">
        <v>322</v>
      </c>
      <c r="E30" s="536">
        <f>E28-E29</f>
        <v>0</v>
      </c>
      <c r="F30" s="530" t="str">
        <f>"Stk. ("&amp;E24&amp;")"</f>
        <v>Stk. (Standard)</v>
      </c>
      <c r="G30" s="544"/>
      <c r="H30" s="527"/>
      <c r="I30" s="527"/>
      <c r="J30" s="527"/>
      <c r="K30" s="527"/>
    </row>
    <row r="31" spans="1:18" ht="12.75" x14ac:dyDescent="0.2"/>
    <row r="32" spans="1:18" s="12" customFormat="1" ht="20.25" x14ac:dyDescent="0.3">
      <c r="A32" s="259"/>
      <c r="B32" s="679" t="s">
        <v>179</v>
      </c>
      <c r="C32" s="679"/>
      <c r="D32" s="679"/>
      <c r="E32" s="679"/>
      <c r="F32" s="679"/>
      <c r="N32"/>
      <c r="O32"/>
      <c r="P32"/>
      <c r="Q32"/>
      <c r="R32"/>
    </row>
    <row r="33" spans="1:18" s="16" customFormat="1" ht="19.899999999999999" customHeight="1" x14ac:dyDescent="0.3">
      <c r="A33" s="260"/>
      <c r="B33" s="303" t="s">
        <v>543</v>
      </c>
      <c r="C33" s="303" t="s">
        <v>288</v>
      </c>
      <c r="D33" s="516"/>
      <c r="E33" s="545">
        <f>_Spez_Ertrag_Standort</f>
        <v>900</v>
      </c>
      <c r="F33" s="522" t="s">
        <v>97</v>
      </c>
      <c r="G33" s="303" t="str">
        <f>"Spezifischer Ertrag am Standort bei horizontaler Montage"</f>
        <v>Spezifischer Ertrag am Standort bei horizontaler Montage</v>
      </c>
      <c r="H33" s="303"/>
      <c r="I33" s="303"/>
      <c r="J33" s="303"/>
      <c r="K33" s="303"/>
    </row>
    <row r="34" spans="1:18" s="16" customFormat="1" ht="19.5" customHeight="1" x14ac:dyDescent="0.3">
      <c r="A34" s="260"/>
      <c r="B34" s="297" t="s">
        <v>544</v>
      </c>
      <c r="C34" s="297" t="str">
        <f>IF(OR(_Dach_Typ="Fdg",_Dach_Typ="Fd"),"Hauptausrichtung","Ausrichtung")</f>
        <v>Ausrichtung</v>
      </c>
      <c r="D34" s="437" t="s">
        <v>323</v>
      </c>
      <c r="E34" s="546" cm="1">
        <f t="array" ref="E34">(INDEX(_Faktor_Ausrichtung,ROUND(((E15/_RasterNeigung))+1,0),ROUND((((E14)/_RasterAzimut))+180/_RasterAzimut+1,0),1))</f>
        <v>1</v>
      </c>
      <c r="F34" s="524"/>
      <c r="G34" s="297" t="str">
        <f>"Abweichung durch "&amp;C34</f>
        <v>Abweichung durch Ausrichtung</v>
      </c>
      <c r="H34" s="297"/>
      <c r="I34" s="297"/>
      <c r="J34" s="297"/>
      <c r="K34" s="297"/>
      <c r="M34" s="156"/>
    </row>
    <row r="35" spans="1:18" s="16" customFormat="1" ht="19.5" customHeight="1" x14ac:dyDescent="0.3">
      <c r="A35" s="260"/>
      <c r="B35" s="527" t="s">
        <v>545</v>
      </c>
      <c r="C35" s="527" t="s">
        <v>289</v>
      </c>
      <c r="D35" s="528" t="s">
        <v>283</v>
      </c>
      <c r="E35" s="547" cm="1">
        <f t="array" ref="E35">INDEX(_Faktor_Ausrichtung,ROUND(((E15/_RasterNeigung))+1,0),ROUND((((E14-180*SIGN(E14))/_RasterAzimut))+180/_RasterAzimut+1,0),1)</f>
        <v>1</v>
      </c>
      <c r="F35" s="530"/>
      <c r="G35" s="536" t="str">
        <f>"Abweichung durch "&amp;C35</f>
        <v>Abweichung durch Zweitausrichtung</v>
      </c>
      <c r="H35" s="530"/>
      <c r="I35" s="527"/>
      <c r="J35" s="527"/>
      <c r="K35" s="527"/>
    </row>
    <row r="36" spans="1:18" s="21" customFormat="1" ht="19.899999999999999" hidden="1" customHeight="1" x14ac:dyDescent="0.3">
      <c r="A36" s="261"/>
      <c r="B36" s="437" t="s">
        <v>543</v>
      </c>
      <c r="C36" s="437" t="s">
        <v>290</v>
      </c>
      <c r="D36" s="437"/>
      <c r="E36" s="548" t="str">
        <f>IFERROR(E33*((E34*E26)+(E35*E27))/(E26+E27),"")</f>
        <v/>
      </c>
      <c r="F36" s="549" t="s">
        <v>97</v>
      </c>
      <c r="G36" s="437" t="s">
        <v>95</v>
      </c>
      <c r="H36" s="437"/>
      <c r="I36" s="437"/>
      <c r="J36" s="437"/>
      <c r="K36" s="437"/>
      <c r="L36" s="16"/>
    </row>
    <row r="37" spans="1:18" s="21" customFormat="1" ht="19.899999999999999" hidden="1" customHeight="1" x14ac:dyDescent="0.3">
      <c r="A37" s="261"/>
      <c r="B37" s="437" t="s">
        <v>543</v>
      </c>
      <c r="C37" s="437" t="s">
        <v>291</v>
      </c>
      <c r="D37" s="437"/>
      <c r="E37" s="548" t="str">
        <f>IFERROR(E33*((E34*E29)+(E35*E30))/(E29+E30),"")</f>
        <v/>
      </c>
      <c r="F37" s="549" t="s">
        <v>97</v>
      </c>
      <c r="G37" s="437" t="s">
        <v>95</v>
      </c>
      <c r="H37" s="437"/>
      <c r="I37" s="437"/>
      <c r="J37" s="437"/>
      <c r="K37" s="437"/>
      <c r="L37" s="16"/>
    </row>
    <row r="38" spans="1:18" s="16" customFormat="1" ht="19.5" customHeight="1" x14ac:dyDescent="0.3">
      <c r="A38" s="260"/>
      <c r="B38" s="297" t="s">
        <v>543</v>
      </c>
      <c r="C38" s="297" t="str">
        <f>C34</f>
        <v>Ausrichtung</v>
      </c>
      <c r="D38" s="437" t="s">
        <v>332</v>
      </c>
      <c r="E38" s="550"/>
      <c r="F38" s="524" t="s">
        <v>97</v>
      </c>
      <c r="G38" s="297" t="s">
        <v>96</v>
      </c>
      <c r="H38" s="297"/>
      <c r="I38" s="297"/>
      <c r="J38" s="297"/>
      <c r="K38" s="297"/>
      <c r="M38" s="156"/>
    </row>
    <row r="39" spans="1:18" s="16" customFormat="1" ht="19.5" customHeight="1" x14ac:dyDescent="0.3">
      <c r="A39" s="260"/>
      <c r="B39" s="551" t="s">
        <v>546</v>
      </c>
      <c r="C39" s="551" t="s">
        <v>289</v>
      </c>
      <c r="D39" s="552"/>
      <c r="E39" s="553"/>
      <c r="F39" s="554" t="s">
        <v>97</v>
      </c>
      <c r="G39" s="551" t="s">
        <v>96</v>
      </c>
      <c r="H39" s="551"/>
      <c r="I39" s="551"/>
      <c r="J39" s="551"/>
      <c r="K39" s="551"/>
    </row>
    <row r="40" spans="1:18" s="16" customFormat="1" ht="19.899999999999999" customHeight="1" x14ac:dyDescent="0.3">
      <c r="A40" s="260"/>
      <c r="B40" s="297" t="s">
        <v>543</v>
      </c>
      <c r="C40" s="297" t="s">
        <v>292</v>
      </c>
      <c r="D40" s="437" t="s">
        <v>284</v>
      </c>
      <c r="E40" s="555" t="str">
        <f>IF(AND(OR(_Dach_Typ="Fdg",_Dach_Typ="Fd"),E27&gt;0,ISNUMBER(E38),ISNUMBER(E39)),(E38*E26+E39*E27)/(E25),
IF(AND(OR(AND(OR(_Dach_Typ="Fdg",_Dach_Typ="Fd"),E27=0),_Dach_Typ="Sd",_Dach_Typ="Pp"),ISNUMBER(E38)),E38,
IF(AND(OR(E27&gt;0,E30&gt;0),ISNUMBER(E38),NOT(ISNUMBER(E39))),0,E36)))</f>
        <v/>
      </c>
      <c r="F40" s="524" t="s">
        <v>97</v>
      </c>
      <c r="G40" s="297" t="str">
        <f>IF(E40=0,"Eingabe Zweitausrichtung erforderlich","Rechenwert spez. Jahresertrag bei technischer Vollbelegung")</f>
        <v>Rechenwert spez. Jahresertrag bei technischer Vollbelegung</v>
      </c>
      <c r="H40" s="297"/>
      <c r="I40" s="297"/>
      <c r="J40" s="297"/>
      <c r="K40" s="297"/>
    </row>
    <row r="41" spans="1:18" s="16" customFormat="1" ht="19.899999999999999" customHeight="1" x14ac:dyDescent="0.3">
      <c r="A41" s="260"/>
      <c r="B41" s="372" t="s">
        <v>543</v>
      </c>
      <c r="C41" s="372" t="s">
        <v>293</v>
      </c>
      <c r="D41" s="449" t="s">
        <v>285</v>
      </c>
      <c r="E41" s="556" t="str">
        <f>IF(AND(OR(_Dach_Typ="Fdg",_Dach_Typ="Fd"),E30&gt;0,ISNUMBER(E38),ISNUMBER(E39)),(E38*E29+E39*E30)/(E28),
IF(AND(OR(AND(OR(_Dach_Typ="Fdg",_Dach_Typ="Fd"),E30=0),_Dach_Typ="Sd",_Dach_Typ="Pp"),ISNUMBER(E38)),E38,E37))</f>
        <v/>
      </c>
      <c r="F41" s="515" t="s">
        <v>97</v>
      </c>
      <c r="G41" s="372" t="str">
        <f>IF(E41=0,"Eingabe Zweitausrichtung erforderlich","Rechenwert spez. Jahresertrag bei gesetzlichem Minimum")</f>
        <v>Rechenwert spez. Jahresertrag bei gesetzlichem Minimum</v>
      </c>
      <c r="H41" s="372"/>
      <c r="I41" s="372"/>
      <c r="J41" s="372"/>
      <c r="K41" s="372"/>
    </row>
    <row r="42" spans="1:18" ht="12.75" x14ac:dyDescent="0.2"/>
    <row r="43" spans="1:18" s="12" customFormat="1" ht="20.25" x14ac:dyDescent="0.3">
      <c r="A43" s="259"/>
      <c r="B43" s="286" t="s">
        <v>221</v>
      </c>
      <c r="D43" s="150"/>
      <c r="E43" s="719" t="s">
        <v>383</v>
      </c>
      <c r="F43" s="719"/>
      <c r="G43" s="719"/>
      <c r="H43" s="719" t="s">
        <v>384</v>
      </c>
      <c r="I43" s="719"/>
      <c r="J43" s="719"/>
      <c r="K43" s="719"/>
      <c r="N43"/>
      <c r="O43"/>
      <c r="P43"/>
      <c r="Q43"/>
      <c r="R43"/>
    </row>
    <row r="44" spans="1:18" s="12" customFormat="1" ht="19.5" customHeight="1" x14ac:dyDescent="0.3">
      <c r="A44" s="259"/>
      <c r="B44" s="303" t="s">
        <v>363</v>
      </c>
      <c r="C44" s="303"/>
      <c r="D44" s="516"/>
      <c r="E44" s="545">
        <f ca="1">IFERROR(_EIV_t.Vb./_Anlageleistung_t.Vb.*E51,0)</f>
        <v>0</v>
      </c>
      <c r="F44" s="522" t="s">
        <v>31</v>
      </c>
      <c r="G44" s="428"/>
      <c r="H44" s="545">
        <f ca="1">IFERROR(_EIV_g.Min./_Anlageleistung_g.Min.*E60,0)</f>
        <v>0</v>
      </c>
      <c r="I44" s="296" t="s">
        <v>31</v>
      </c>
      <c r="J44" s="429"/>
      <c r="K44"/>
      <c r="M44" s="218"/>
      <c r="N44"/>
      <c r="O44"/>
      <c r="P44"/>
      <c r="Q44"/>
      <c r="R44"/>
    </row>
    <row r="45" spans="1:18" s="16" customFormat="1" ht="19.899999999999999" customHeight="1" x14ac:dyDescent="0.25">
      <c r="A45" s="260"/>
      <c r="B45" s="303" t="s">
        <v>222</v>
      </c>
      <c r="C45" s="303"/>
      <c r="D45" s="516" t="s">
        <v>313</v>
      </c>
      <c r="E45" s="545">
        <f>IF(AND(E15&gt;=_Neigungswinkel_für_NB_Bund,E15&lt;=90),(E26*F23)/1000*_Bonus_Neigungswinkel_Bund+IF(OR(_Dach_Typ="Fd",_Dach_Typ="Fdg"),(F24*E27)/1000*_Bonus_Neigungswinkel_Bund,0),0)</f>
        <v>0</v>
      </c>
      <c r="F45" s="429" t="s">
        <v>31</v>
      </c>
      <c r="G45" s="514"/>
      <c r="H45" s="545">
        <f>IF(AND(E15&gt;=_Neigungswinkel_für_NB_Bund,E15&lt;=90),(E29*F23)/1000*_Bonus_Neigungswinkel_Bund+IF(OR(_Dach_Typ="Fd",_Dach_Typ="Fdg"),(F24*E30)/1000*_Bonus_Neigungswinkel_Bund,0),0)</f>
        <v>0</v>
      </c>
      <c r="I45" s="303" t="s">
        <v>31</v>
      </c>
      <c r="J45" s="429"/>
      <c r="K45"/>
    </row>
    <row r="46" spans="1:18" s="16" customFormat="1" ht="19.899999999999999" customHeight="1" x14ac:dyDescent="0.25">
      <c r="A46" s="260"/>
      <c r="B46" s="297" t="s">
        <v>223</v>
      </c>
      <c r="C46" s="297"/>
      <c r="D46" s="437" t="s">
        <v>314</v>
      </c>
      <c r="E46" s="555">
        <f>IFERROR(IF(AND(E11=Basisdaten!B154,(E26*F23+E27*F24)/1000&gt;=_Schwelle_PPBonus),(E26*F23+E27*F24)/1000*_Bonus_Pp_pronovo,0),0)</f>
        <v>0</v>
      </c>
      <c r="F46" s="557" t="s">
        <v>31</v>
      </c>
      <c r="G46" s="514"/>
      <c r="H46" s="555">
        <f>IFERROR(IF(AND(E11=Basisdaten!B154,(E29*F23+E30*F24)/1000&gt;=_Schwelle_PPBonus),(E29*F23+E30*F24)/1000*_Bonus_Pp_pronovo,0),0)</f>
        <v>0</v>
      </c>
      <c r="I46" s="297" t="s">
        <v>31</v>
      </c>
      <c r="J46" s="429"/>
      <c r="K46"/>
      <c r="M46" s="156"/>
    </row>
    <row r="47" spans="1:18" s="16" customFormat="1" ht="19.899999999999999" customHeight="1" x14ac:dyDescent="0.25">
      <c r="A47" s="260"/>
      <c r="B47" s="297" t="s">
        <v>281</v>
      </c>
      <c r="C47" s="297"/>
      <c r="D47" s="437" t="s">
        <v>310</v>
      </c>
      <c r="E47" s="555">
        <f>IF(AND(E15&gt;=_Neigungswinkel_für_NB_Bund,E15&lt;=90,NOT(_Dach_Typ="Fdg")),
((E17="unk")*E26*_Modullänge_Standard*_Modulbreite_Standard
+(E16="unk")*E27*_Modullänge_Standard*_Modulbreite_Standard
+(E17="krit")*E26*_Modullänge_Blendarm*_Modulbreite_Blendarm
+(E16="krit")*E27*_Modullänge_Blendarm*_Modulbreite_Blendarm)
*_Bonus_Steil_Stadt,0)</f>
        <v>0</v>
      </c>
      <c r="F47" s="557" t="s">
        <v>31</v>
      </c>
      <c r="G47" s="514"/>
      <c r="H47" s="555">
        <f>IF(AND(E15&gt;=_Neigungswinkel_für_NB_Bund,E15&lt;=90,NOT(_Dach_Typ="Fdg")),
((E17="unk")*E29*_Modullänge_Standard*_Modulbreite_Standard
+(E16="unk")*E30*_Modullänge_Standard*_Modulbreite_Standard
+(E17="krit")*E29*_Modullänge_Blendarm*_Modulbreite_Blendarm
+(E16="krit")*E30*_Modullänge_Blendarm*_Modulbreite_Blendarm)
*_Bonus_Steil_Stadt,0)</f>
        <v>0</v>
      </c>
      <c r="I47" s="297" t="s">
        <v>31</v>
      </c>
      <c r="J47" s="429"/>
      <c r="K47"/>
      <c r="M47" s="218"/>
    </row>
    <row r="48" spans="1:18" s="16" customFormat="1" ht="19.899999999999999" customHeight="1" x14ac:dyDescent="0.25">
      <c r="A48" s="260"/>
      <c r="B48" s="297" t="s">
        <v>309</v>
      </c>
      <c r="C48" s="297"/>
      <c r="D48" s="437" t="s">
        <v>311</v>
      </c>
      <c r="E48" s="555">
        <f>IF(_Dach_Typ="Fdg",(E26*F23+E27*F24)/1000*_Bonus_Gründach_Stadt,0)</f>
        <v>0</v>
      </c>
      <c r="F48" s="557" t="s">
        <v>31</v>
      </c>
      <c r="G48" s="514"/>
      <c r="H48" s="555">
        <f>IF(_Dach_Typ="Fdg",(E29*F23+E30*F24)/1000*_Bonus_Gründach_Stadt,0)</f>
        <v>0</v>
      </c>
      <c r="I48" s="297" t="s">
        <v>31</v>
      </c>
      <c r="J48" s="429"/>
      <c r="K48"/>
    </row>
    <row r="49" spans="1:18" s="16" customFormat="1" ht="19.899999999999999" customHeight="1" x14ac:dyDescent="0.25">
      <c r="A49" s="260"/>
      <c r="B49" s="372" t="s">
        <v>282</v>
      </c>
      <c r="C49" s="372"/>
      <c r="D49" s="449" t="s">
        <v>312</v>
      </c>
      <c r="E49" s="556">
        <f>IF(E16="krit",E26*F23/1000*_Bonus_Blendarm_Stadt,0)
+IF(AND(OR(_Dach_Typ="Fd",_Dach_Typ="Fdg"),E17="krit"),F24*E27/1000*_Bonus_Blendarm_Stadt,0)</f>
        <v>0</v>
      </c>
      <c r="F49" s="558" t="s">
        <v>31</v>
      </c>
      <c r="G49" s="514"/>
      <c r="H49" s="556">
        <f>IF(E16="krit",E29*F23/1000*_Bonus_Blendarm_Stadt,0)
+IF(AND(OR(_Dach_Typ="Fd",_Dach_Typ="Fdg"),E17="krit"),F24*E30/1000*_Bonus_Blendarm_Stadt,0)</f>
        <v>0</v>
      </c>
      <c r="I49" s="372" t="s">
        <v>31</v>
      </c>
      <c r="J49" s="429"/>
      <c r="K49"/>
    </row>
    <row r="50" spans="1:18" s="150" customFormat="1" ht="21" hidden="1" thickBot="1" x14ac:dyDescent="0.35">
      <c r="A50" s="264"/>
      <c r="B50" s="230" t="s">
        <v>368</v>
      </c>
      <c r="C50" s="25"/>
      <c r="D50" s="25"/>
      <c r="E50" s="25"/>
      <c r="F50" s="25"/>
      <c r="G50" s="25"/>
      <c r="H50" s="25"/>
      <c r="I50" s="25"/>
      <c r="J50" s="25"/>
      <c r="K50" s="231"/>
      <c r="L50" s="12"/>
      <c r="N50" s="14"/>
      <c r="O50" s="14"/>
      <c r="P50" s="14"/>
      <c r="Q50" s="14"/>
      <c r="R50" s="14"/>
    </row>
    <row r="51" spans="1:18" s="21" customFormat="1" ht="19.899999999999999" hidden="1" customHeight="1" x14ac:dyDescent="0.25">
      <c r="A51" s="261"/>
      <c r="B51" s="39" t="s">
        <v>28</v>
      </c>
      <c r="C51" s="19"/>
      <c r="D51" s="19" t="str">
        <f ca="1">CONCATENATE(B1,Basisdaten!A84)</f>
        <v>Dachfläche (4)P_TF_t.Vb.</v>
      </c>
      <c r="E51" s="232">
        <f>IF(E25&lt;6,0,
IF(AND(OR(_Dach_Typ="Fd",_Dach_Typ="Fdg"),ISNUMBER(F23),ISNUMBER(F24)),(E26*F23+E27*F24)/1000,
IF(ISNUMBER(F23),(E26*F23)/1000,0)))</f>
        <v>0</v>
      </c>
      <c r="F51" s="233" t="s">
        <v>102</v>
      </c>
      <c r="G51" s="234" t="str" cm="1">
        <f t="array" ref="G51">_xlfn.IFS(E25&lt;6,"Keine Nutzungspflicht",E16="offen","Reflektion ungeklärt",E17="offen","Reflektion ungeklärt",TRUE,"")</f>
        <v>Keine Nutzungspflicht</v>
      </c>
      <c r="H51" s="234"/>
      <c r="I51" s="234"/>
      <c r="J51" s="220"/>
      <c r="K51" s="235"/>
      <c r="L51" s="16"/>
    </row>
    <row r="52" spans="1:18" s="21" customFormat="1" ht="19.899999999999999" hidden="1" customHeight="1" x14ac:dyDescent="0.25">
      <c r="A52" s="261"/>
      <c r="B52" s="48" t="s">
        <v>357</v>
      </c>
      <c r="C52" s="27"/>
      <c r="D52" s="27"/>
      <c r="E52" s="49">
        <f>IF(E51&gt;0,VLOOKUP(D51,Basisdaten!C:E,3,FALSE),0)</f>
        <v>0</v>
      </c>
      <c r="F52" s="26" t="s">
        <v>52</v>
      </c>
      <c r="G52" s="223"/>
      <c r="H52" s="223"/>
      <c r="I52" s="223"/>
      <c r="J52" s="27"/>
      <c r="K52" s="224"/>
      <c r="L52" s="16"/>
    </row>
    <row r="53" spans="1:18" s="21" customFormat="1" ht="19.899999999999999" hidden="1" customHeight="1" x14ac:dyDescent="0.25">
      <c r="A53" s="261"/>
      <c r="B53" s="20" t="s">
        <v>29</v>
      </c>
      <c r="C53" s="17"/>
      <c r="D53" s="17"/>
      <c r="E53" s="24">
        <f>IF(E51&gt;0,E51*VLOOKUP(D51,Basisdaten!C:E,3,FALSE),0)</f>
        <v>0</v>
      </c>
      <c r="F53" s="22" t="s">
        <v>31</v>
      </c>
      <c r="G53" s="37"/>
      <c r="H53" s="37"/>
      <c r="I53" s="37"/>
      <c r="J53" s="17"/>
      <c r="K53" s="23"/>
      <c r="L53" s="16"/>
    </row>
    <row r="54" spans="1:18" s="21" customFormat="1" ht="19.899999999999999" hidden="1" customHeight="1" x14ac:dyDescent="0.25">
      <c r="A54" s="261"/>
      <c r="B54" s="20" t="s">
        <v>264</v>
      </c>
      <c r="C54" s="17"/>
      <c r="D54" s="17"/>
      <c r="E54" s="24">
        <f>IF(E16="krit",E26*_Aufpreis_Blendarm,0)
+IF(E17="krit",E27*_Aufpreis_Blendarm,0)</f>
        <v>0</v>
      </c>
      <c r="F54" s="22" t="s">
        <v>31</v>
      </c>
      <c r="G54" s="37"/>
      <c r="H54" s="37"/>
      <c r="I54" s="37"/>
      <c r="J54" s="17"/>
      <c r="K54" s="23"/>
      <c r="L54" s="16"/>
    </row>
    <row r="55" spans="1:18" s="21" customFormat="1" ht="19.899999999999999" hidden="1" customHeight="1" x14ac:dyDescent="0.25">
      <c r="A55" s="261"/>
      <c r="B55" s="20" t="s">
        <v>253</v>
      </c>
      <c r="C55" s="17"/>
      <c r="D55" s="17"/>
      <c r="E55" s="24">
        <f>IF(E51&gt;0,-SUM(E44:E49),0)</f>
        <v>0</v>
      </c>
      <c r="F55" s="22" t="s">
        <v>31</v>
      </c>
      <c r="G55" s="37"/>
      <c r="H55" s="37"/>
      <c r="I55" s="37"/>
      <c r="J55" s="17"/>
      <c r="K55" s="23"/>
      <c r="L55" s="16"/>
    </row>
    <row r="56" spans="1:18" s="21" customFormat="1" ht="19.899999999999999" hidden="1" customHeight="1" x14ac:dyDescent="0.25">
      <c r="A56" s="261"/>
      <c r="B56" s="20" t="s">
        <v>196</v>
      </c>
      <c r="C56" s="17"/>
      <c r="D56" s="17"/>
      <c r="E56" s="24">
        <f>SUM(E53:E55)</f>
        <v>0</v>
      </c>
      <c r="F56" s="22" t="s">
        <v>31</v>
      </c>
      <c r="G56" s="37"/>
      <c r="H56" s="37"/>
      <c r="I56" s="37"/>
      <c r="J56" s="17"/>
      <c r="K56" s="23"/>
      <c r="L56" s="16"/>
    </row>
    <row r="57" spans="1:18" s="21" customFormat="1" ht="19.899999999999999" hidden="1" customHeight="1" thickBot="1" x14ac:dyDescent="0.3">
      <c r="A57" s="261"/>
      <c r="B57" s="236" t="s">
        <v>367</v>
      </c>
      <c r="C57" s="28"/>
      <c r="D57" s="28" t="s">
        <v>349</v>
      </c>
      <c r="E57" s="237">
        <f>IFERROR(E56/(E40*E51)*100/25,0)</f>
        <v>0</v>
      </c>
      <c r="F57" s="157" t="s">
        <v>32</v>
      </c>
      <c r="G57" s="28" t="s">
        <v>294</v>
      </c>
      <c r="H57" s="238"/>
      <c r="I57" s="238"/>
      <c r="J57" s="28"/>
      <c r="K57" s="239"/>
      <c r="L57" s="16"/>
      <c r="M57" s="240"/>
    </row>
    <row r="58" spans="1:18" s="14" customFormat="1" ht="12.75" hidden="1" x14ac:dyDescent="0.2">
      <c r="A58" s="262"/>
      <c r="L58"/>
    </row>
    <row r="59" spans="1:18" s="150" customFormat="1" ht="21" hidden="1" thickBot="1" x14ac:dyDescent="0.35">
      <c r="A59" s="264"/>
      <c r="B59" s="230" t="s">
        <v>362</v>
      </c>
      <c r="C59" s="25"/>
      <c r="D59" s="25"/>
      <c r="E59" s="25"/>
      <c r="F59" s="25"/>
      <c r="G59" s="25"/>
      <c r="H59" s="25"/>
      <c r="I59" s="25"/>
      <c r="J59" s="25"/>
      <c r="K59" s="231"/>
      <c r="L59" s="12"/>
      <c r="N59" s="14"/>
      <c r="O59" s="14"/>
      <c r="P59" s="14"/>
      <c r="Q59" s="14"/>
      <c r="R59" s="14"/>
    </row>
    <row r="60" spans="1:18" s="21" customFormat="1" ht="19.899999999999999" hidden="1" customHeight="1" x14ac:dyDescent="0.25">
      <c r="A60" s="261"/>
      <c r="B60" s="39" t="s">
        <v>28</v>
      </c>
      <c r="C60" s="19"/>
      <c r="D60" s="19" t="str">
        <f ca="1">CONCATENATE(B1,Basisdaten!A99)</f>
        <v>Dachfläche (4)P_TF_g.Min.</v>
      </c>
      <c r="E60" s="232">
        <f>IF(E28&lt;6,0,
IF(AND(OR(_Dach_Typ="Fd",_Dach_Typ="Fdg"),ISNUMBER(F23),ISNUMBER(F24)),(E29*F23+E30*F24)/1000,
IF(ISNUMBER(F23),(E29*F23)/1000,0)))</f>
        <v>0</v>
      </c>
      <c r="F60" s="241" t="s">
        <v>102</v>
      </c>
      <c r="G60" s="19" t="str" cm="1">
        <f t="array" ref="G60">_xlfn.IFS(E28&lt;6,"Keine Nutzungspflicht",E16="offen","Reflektion ungeklärt",E17="offen","Reflektion ungeklärt",TRUE,"")</f>
        <v>Keine Nutzungspflicht</v>
      </c>
      <c r="H60" s="232"/>
      <c r="I60" s="241"/>
      <c r="J60" s="19"/>
      <c r="K60" s="242"/>
      <c r="L60" s="16"/>
    </row>
    <row r="61" spans="1:18" s="21" customFormat="1" ht="19.899999999999999" hidden="1" customHeight="1" x14ac:dyDescent="0.25">
      <c r="A61" s="261"/>
      <c r="B61" s="20" t="s">
        <v>357</v>
      </c>
      <c r="C61" s="17"/>
      <c r="D61" s="17"/>
      <c r="E61" s="24">
        <f>IF(E60&gt;0,VLOOKUP(D60,Basisdaten!C:E,3,FALSE),0)</f>
        <v>0</v>
      </c>
      <c r="F61" s="22" t="s">
        <v>31</v>
      </c>
      <c r="G61" s="17"/>
      <c r="H61" s="24"/>
      <c r="I61" s="22"/>
      <c r="J61" s="17"/>
      <c r="K61" s="23"/>
      <c r="L61" s="16"/>
    </row>
    <row r="62" spans="1:18" s="21" customFormat="1" ht="19.899999999999999" hidden="1" customHeight="1" x14ac:dyDescent="0.25">
      <c r="A62" s="261"/>
      <c r="B62" s="20" t="s">
        <v>29</v>
      </c>
      <c r="C62" s="17"/>
      <c r="D62" s="17"/>
      <c r="E62" s="24">
        <f>IF(E60&gt;0,E60*VLOOKUP(D60,Basisdaten!C:E,3,FALSE),0)</f>
        <v>0</v>
      </c>
      <c r="F62" s="22" t="s">
        <v>31</v>
      </c>
      <c r="G62" s="17"/>
      <c r="H62" s="24"/>
      <c r="I62" s="22"/>
      <c r="J62" s="17"/>
      <c r="K62" s="23"/>
      <c r="L62" s="16"/>
    </row>
    <row r="63" spans="1:18" s="21" customFormat="1" ht="19.899999999999999" hidden="1" customHeight="1" x14ac:dyDescent="0.25">
      <c r="A63" s="261"/>
      <c r="B63" s="20" t="s">
        <v>264</v>
      </c>
      <c r="C63" s="17"/>
      <c r="D63" s="17"/>
      <c r="E63" s="24">
        <f>IF(E16="krit",E29*_Aufpreis_Blendarm,0)
+IF(E17="krit",E30*_Aufpreis_Blendarm,0)</f>
        <v>0</v>
      </c>
      <c r="F63" s="22" t="s">
        <v>31</v>
      </c>
      <c r="G63" s="17"/>
      <c r="H63" s="24"/>
      <c r="I63" s="22"/>
      <c r="J63" s="17"/>
      <c r="K63" s="23"/>
      <c r="L63" s="16"/>
    </row>
    <row r="64" spans="1:18" s="21" customFormat="1" ht="19.899999999999999" hidden="1" customHeight="1" x14ac:dyDescent="0.25">
      <c r="A64" s="261"/>
      <c r="B64" s="20" t="s">
        <v>253</v>
      </c>
      <c r="C64" s="17"/>
      <c r="D64" s="17"/>
      <c r="E64" s="24">
        <f>IF(E60&gt;0,-SUM(H44:H49),0)</f>
        <v>0</v>
      </c>
      <c r="F64" s="22" t="s">
        <v>31</v>
      </c>
      <c r="G64" s="17"/>
      <c r="H64" s="24"/>
      <c r="I64" s="22"/>
      <c r="J64" s="17"/>
      <c r="K64" s="23"/>
      <c r="L64" s="16"/>
    </row>
    <row r="65" spans="1:18" s="21" customFormat="1" ht="19.899999999999999" hidden="1" customHeight="1" x14ac:dyDescent="0.25">
      <c r="A65" s="261"/>
      <c r="B65" s="20" t="s">
        <v>196</v>
      </c>
      <c r="C65" s="17"/>
      <c r="D65" s="17"/>
      <c r="E65" s="24">
        <f>SUM(E62:E64)</f>
        <v>0</v>
      </c>
      <c r="F65" s="22" t="s">
        <v>31</v>
      </c>
      <c r="G65" s="17"/>
      <c r="H65" s="24"/>
      <c r="I65" s="22"/>
      <c r="J65" s="17"/>
      <c r="K65" s="23"/>
      <c r="L65" s="16"/>
    </row>
    <row r="66" spans="1:18" s="21" customFormat="1" ht="19.899999999999999" hidden="1" customHeight="1" thickBot="1" x14ac:dyDescent="0.3">
      <c r="A66" s="261"/>
      <c r="B66" s="236" t="s">
        <v>367</v>
      </c>
      <c r="C66" s="28"/>
      <c r="D66" s="28" t="s">
        <v>350</v>
      </c>
      <c r="E66" s="237">
        <f>IFERROR(E65/(E40*E60)*100/25,0)</f>
        <v>0</v>
      </c>
      <c r="F66" s="157" t="s">
        <v>32</v>
      </c>
      <c r="G66" s="28" t="s">
        <v>294</v>
      </c>
      <c r="H66" s="237"/>
      <c r="I66" s="157"/>
      <c r="J66" s="28"/>
      <c r="K66" s="239"/>
      <c r="L66" s="16"/>
    </row>
    <row r="67" spans="1:18" s="14" customFormat="1" ht="12.75" hidden="1" x14ac:dyDescent="0.2">
      <c r="A67" s="262"/>
      <c r="L67"/>
    </row>
    <row r="68" spans="1:18" ht="12.75" x14ac:dyDescent="0.2">
      <c r="D68"/>
    </row>
    <row r="69" spans="1:18" s="12" customFormat="1" ht="20.25" x14ac:dyDescent="0.3">
      <c r="A69" s="259"/>
      <c r="B69" s="679" t="str">
        <f ca="1">"Dachaufbauten "&amp;MID(CELL("dateiname",B2),SEARCH("]",CELL("dateiname",B2))+1,31)</f>
        <v>Dachaufbauten Dachfläche (4)</v>
      </c>
      <c r="C69" s="679"/>
      <c r="D69" s="679"/>
      <c r="E69" s="679"/>
      <c r="N69"/>
      <c r="O69"/>
      <c r="P69"/>
      <c r="Q69"/>
      <c r="R69"/>
    </row>
    <row r="70" spans="1:18" s="14" customFormat="1" ht="12.75" hidden="1" x14ac:dyDescent="0.2">
      <c r="A70" s="262"/>
      <c r="B70" s="29"/>
      <c r="D70" s="14" t="s">
        <v>71</v>
      </c>
      <c r="F70" s="14">
        <v>-90</v>
      </c>
      <c r="G70" s="14">
        <v>-180</v>
      </c>
      <c r="H70" s="14">
        <v>90</v>
      </c>
      <c r="K70" s="30"/>
      <c r="L70"/>
    </row>
    <row r="71" spans="1:18" s="14" customFormat="1" ht="12.75" hidden="1" x14ac:dyDescent="0.2">
      <c r="A71" s="262"/>
      <c r="B71" s="29"/>
      <c r="D71" s="14" t="s">
        <v>60</v>
      </c>
      <c r="F71" s="31">
        <f>RADIANS(F70)</f>
        <v>-1.5707963267948966</v>
      </c>
      <c r="G71" s="31">
        <f t="shared" ref="G71:H71" si="1">RADIANS(G70)</f>
        <v>-3.1415926535897931</v>
      </c>
      <c r="H71" s="31">
        <f t="shared" si="1"/>
        <v>1.5707963267948966</v>
      </c>
      <c r="K71" s="30"/>
      <c r="L71"/>
    </row>
    <row r="72" spans="1:18" s="14" customFormat="1" ht="12.75" hidden="1" x14ac:dyDescent="0.2">
      <c r="A72" s="262"/>
      <c r="B72" s="29"/>
      <c r="D72" s="14" t="s">
        <v>61</v>
      </c>
      <c r="F72" s="14">
        <v>1</v>
      </c>
      <c r="G72" s="14">
        <v>3</v>
      </c>
      <c r="H72" s="14">
        <v>1</v>
      </c>
      <c r="K72" s="30"/>
      <c r="L72"/>
    </row>
    <row r="73" spans="1:18" s="14" customFormat="1" ht="12.75" hidden="1" x14ac:dyDescent="0.2">
      <c r="A73" s="262"/>
      <c r="B73" s="29"/>
      <c r="D73" s="14" t="s">
        <v>72</v>
      </c>
      <c r="F73" s="32">
        <f>$F$72*SIN(ATAN(1/$F$72))/SIN(ASIN(SIN($E$19)*COS($F$71-PI()+$E$18))+ATAN(1/$F$72))</f>
        <v>1</v>
      </c>
      <c r="G73" s="32">
        <f>$G$72*SIN(ATAN(1/$G$72))/SIN(ASIN(SIN(-$E$19)*COS($G$71-PI()+$E$18))+ATAN(1/$G$72))</f>
        <v>3</v>
      </c>
      <c r="H73" s="32">
        <f>$H$72*SIN(ATAN(1/$H$72))/SIN(ASIN(SIN($E$19)*COS($H$71-PI()+$E$18))+ATAN(1/$H$72))</f>
        <v>1</v>
      </c>
      <c r="K73" s="30"/>
      <c r="L73"/>
    </row>
    <row r="74" spans="1:18" s="14" customFormat="1" ht="12.75" hidden="1" x14ac:dyDescent="0.2">
      <c r="A74" s="262"/>
      <c r="B74" s="29"/>
      <c r="D74" s="14" t="s">
        <v>63</v>
      </c>
      <c r="F74" s="31">
        <f>ASIN(SIN($E$19)*COS(F71-$E$18))</f>
        <v>0</v>
      </c>
      <c r="G74" s="31">
        <f>ASIN(SIN($E$19)*COS(G71-$E$18))</f>
        <v>0</v>
      </c>
      <c r="H74" s="31">
        <f>ASIN(SIN($E$19)*COS(H71-$E$18))</f>
        <v>0</v>
      </c>
      <c r="K74" s="30"/>
      <c r="L74"/>
    </row>
    <row r="75" spans="1:18" s="14" customFormat="1" ht="12.75" hidden="1" x14ac:dyDescent="0.2">
      <c r="A75" s="262"/>
      <c r="B75" s="29"/>
      <c r="D75" s="14" t="s">
        <v>64</v>
      </c>
      <c r="F75" s="33">
        <f>F74*180/PI()</f>
        <v>0</v>
      </c>
      <c r="G75" s="33">
        <f t="shared" ref="G75:H75" si="2">G74*180/PI()</f>
        <v>0</v>
      </c>
      <c r="H75" s="33">
        <f t="shared" si="2"/>
        <v>0</v>
      </c>
      <c r="K75" s="30"/>
      <c r="L75"/>
    </row>
    <row r="76" spans="1:18" s="51" customFormat="1" ht="60" customHeight="1" x14ac:dyDescent="0.2">
      <c r="A76" s="265"/>
      <c r="B76" s="601" t="str">
        <f>_xlfn._LONGTEXT("Zu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f>
        <v>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v>
      </c>
      <c r="C76" s="601"/>
      <c r="D76" s="601"/>
      <c r="E76" s="601"/>
      <c r="F76" s="601"/>
      <c r="G76" s="601"/>
      <c r="H76" s="601"/>
      <c r="I76" s="601"/>
      <c r="J76" s="140"/>
      <c r="K76" s="140"/>
    </row>
    <row r="77" spans="1:18" s="16" customFormat="1" ht="19.899999999999999" customHeight="1" x14ac:dyDescent="0.25">
      <c r="A77" s="260"/>
      <c r="B77" s="428"/>
      <c r="C77" s="514"/>
      <c r="D77" s="559"/>
      <c r="E77" s="560"/>
      <c r="F77" s="717" t="s">
        <v>74</v>
      </c>
      <c r="G77" s="717"/>
      <c r="H77" s="717"/>
      <c r="I77"/>
      <c r="J77"/>
      <c r="K77"/>
    </row>
    <row r="78" spans="1:18" s="16" customFormat="1" ht="19.899999999999999" customHeight="1" x14ac:dyDescent="0.25">
      <c r="A78" s="260"/>
      <c r="B78" s="428" t="s">
        <v>78</v>
      </c>
      <c r="C78" s="514" t="s">
        <v>20</v>
      </c>
      <c r="D78" s="559"/>
      <c r="E78" s="562" t="s">
        <v>94</v>
      </c>
      <c r="F78" s="561" t="s">
        <v>75</v>
      </c>
      <c r="G78" s="561" t="s">
        <v>76</v>
      </c>
      <c r="H78" s="561" t="s">
        <v>77</v>
      </c>
      <c r="I78"/>
      <c r="J78"/>
      <c r="K78"/>
    </row>
    <row r="79" spans="1:18" s="16" customFormat="1" ht="19.899999999999999" customHeight="1" x14ac:dyDescent="0.25">
      <c r="A79" s="260"/>
      <c r="B79" s="563" t="s">
        <v>79</v>
      </c>
      <c r="C79" s="564"/>
      <c r="D79" s="565"/>
      <c r="E79" s="566" t="s">
        <v>73</v>
      </c>
      <c r="F79" s="566" t="s">
        <v>73</v>
      </c>
      <c r="G79" s="566" t="s">
        <v>73</v>
      </c>
      <c r="H79" s="566" t="s">
        <v>73</v>
      </c>
      <c r="I79" s="295"/>
      <c r="J79" s="295"/>
      <c r="K79" s="295"/>
    </row>
    <row r="80" spans="1:18" s="16" customFormat="1" ht="19.899999999999999" customHeight="1" x14ac:dyDescent="0.25">
      <c r="A80" s="260"/>
      <c r="B80" s="503">
        <v>1</v>
      </c>
      <c r="C80" s="567"/>
      <c r="D80" s="568"/>
      <c r="E80" s="569"/>
      <c r="F80" s="570" t="str">
        <f>IF(ISNUMBER($E80),$E80*IF($F$73&gt;0,MIN($F$72:$F$73),MAX($F$72:$F$73)),"")</f>
        <v/>
      </c>
      <c r="G80" s="570" t="str">
        <f>IF(ISNUMBER($E80),$E80*IF($G$73&gt;0,MIN($G$72:$G$73),MAX($G$72:$G$73)),"")</f>
        <v/>
      </c>
      <c r="H80" s="570" t="str">
        <f>IF(ISNUMBER($E80),$E80*IF($H$73&gt;0,MIN($H$72:$H$73),MAX($H$72:$H$73)),"")</f>
        <v/>
      </c>
      <c r="I80" s="303"/>
      <c r="J80" s="303"/>
      <c r="K80" s="303"/>
    </row>
    <row r="81" spans="1:11" s="16" customFormat="1" ht="19.899999999999999" customHeight="1" x14ac:dyDescent="0.25">
      <c r="A81" s="260"/>
      <c r="B81" s="505">
        <v>2</v>
      </c>
      <c r="C81" s="571"/>
      <c r="D81" s="572"/>
      <c r="E81" s="573"/>
      <c r="F81" s="574" t="str">
        <f>IF(ISNUMBER($E81),$E81*IF($F$73&gt;0,MIN($F$72:$F$73),MAX($F$72:$F$73)),"")</f>
        <v/>
      </c>
      <c r="G81" s="574" t="str">
        <f>IF(ISNUMBER($E81),$E81*IF($G$73&gt;0,MIN($G$72:$G$73),MAX($G$72:$G$73)),"")</f>
        <v/>
      </c>
      <c r="H81" s="574" t="str">
        <f>IF(ISNUMBER($E81),$E81*IF($H$73&gt;0,MIN($H$72:$H$73),MAX($H$72:$H$73)),"")</f>
        <v/>
      </c>
      <c r="I81" s="297"/>
      <c r="J81" s="297"/>
      <c r="K81" s="297"/>
    </row>
    <row r="82" spans="1:11" s="16" customFormat="1" ht="19.899999999999999" customHeight="1" x14ac:dyDescent="0.25">
      <c r="A82" s="260"/>
      <c r="B82" s="505">
        <v>3</v>
      </c>
      <c r="C82" s="571"/>
      <c r="D82" s="572"/>
      <c r="E82" s="573"/>
      <c r="F82" s="574" t="str">
        <f>IF(ISNUMBER($E82),$E82*IF($F$73&gt;0,MIN($F$72:$F$73),MAX($F$72:$F$73)),"")</f>
        <v/>
      </c>
      <c r="G82" s="574" t="str">
        <f>IF(ISNUMBER($E82),$E82*IF($G$73&gt;0,MIN($G$72:$G$73),MAX($G$72:$G$73)),"")</f>
        <v/>
      </c>
      <c r="H82" s="574" t="str">
        <f>IF(ISNUMBER($E82),$E82*IF($H$73&gt;0,MIN($H$72:$H$73),MAX($H$72:$H$73)),"")</f>
        <v/>
      </c>
      <c r="I82" s="297"/>
      <c r="J82" s="297"/>
      <c r="K82" s="297"/>
    </row>
    <row r="83" spans="1:11" s="16" customFormat="1" ht="19.899999999999999" customHeight="1" x14ac:dyDescent="0.25">
      <c r="A83" s="260"/>
      <c r="B83" s="505">
        <v>4</v>
      </c>
      <c r="C83" s="571"/>
      <c r="D83" s="572"/>
      <c r="E83" s="573"/>
      <c r="F83" s="574" t="str">
        <f>IF(ISNUMBER($E83),$E83*IF($F$73&gt;0,MIN($F$72:$F$73),MAX($F$72:$F$73)),"")</f>
        <v/>
      </c>
      <c r="G83" s="574" t="str">
        <f>IF(ISNUMBER($E83),$E83*IF($G$73&gt;0,MIN($G$72:$G$73),MAX($G$72:$G$73)),"")</f>
        <v/>
      </c>
      <c r="H83" s="574" t="str">
        <f>IF(ISNUMBER($E83),$E83*IF($H$73&gt;0,MIN($H$72:$H$73),MAX($H$72:$H$73)),"")</f>
        <v/>
      </c>
      <c r="I83" s="297"/>
      <c r="J83" s="297"/>
      <c r="K83" s="297"/>
    </row>
    <row r="84" spans="1:11" s="16" customFormat="1" ht="19.899999999999999" customHeight="1" x14ac:dyDescent="0.25">
      <c r="A84" s="260"/>
      <c r="B84" s="505">
        <v>5</v>
      </c>
      <c r="C84" s="571"/>
      <c r="D84" s="572"/>
      <c r="E84" s="573"/>
      <c r="F84" s="574" t="str">
        <f>IF(ISNUMBER($E84),$E84*IF($F$73&gt;0,MIN($F$72:$F$73),MAX($F$72:$F$73)),"")</f>
        <v/>
      </c>
      <c r="G84" s="574" t="str">
        <f>IF(ISNUMBER($E84),$E84*IF($G$73&gt;0,MIN($G$72:$G$73),MAX($G$72:$G$73)),"")</f>
        <v/>
      </c>
      <c r="H84" s="574" t="str">
        <f>IF(ISNUMBER($E84),$E84*IF($H$73&gt;0,MIN($H$72:$H$73),MAX($H$72:$H$73)),"")</f>
        <v/>
      </c>
      <c r="I84" s="297"/>
      <c r="J84" s="297"/>
      <c r="K84" s="297"/>
    </row>
    <row r="85" spans="1:11" ht="12.75" x14ac:dyDescent="0.2"/>
    <row r="86" spans="1:11" ht="12.75" x14ac:dyDescent="0.2"/>
    <row r="87" spans="1:11" ht="12.75" x14ac:dyDescent="0.2"/>
    <row r="88" spans="1:11" ht="15" customHeight="1" x14ac:dyDescent="0.2"/>
    <row r="89" spans="1:11" ht="15" customHeight="1" x14ac:dyDescent="0.2"/>
    <row r="90" spans="1:11" ht="15" customHeight="1" x14ac:dyDescent="0.2"/>
    <row r="91" spans="1:11" ht="15" hidden="1" customHeight="1" x14ac:dyDescent="0.2"/>
    <row r="92" spans="1:11" ht="15" hidden="1" customHeight="1" x14ac:dyDescent="0.2"/>
    <row r="93" spans="1:11" ht="15" hidden="1" customHeight="1" x14ac:dyDescent="0.2"/>
    <row r="94" spans="1:11" ht="14.1" hidden="1" customHeight="1" x14ac:dyDescent="0.2"/>
    <row r="95" spans="1:11" ht="14.1" hidden="1" customHeight="1" x14ac:dyDescent="0.2"/>
    <row r="96" spans="1:11" ht="14.1" hidden="1" customHeight="1" x14ac:dyDescent="0.2"/>
    <row r="97" ht="14.1" hidden="1" customHeight="1" x14ac:dyDescent="0.2"/>
    <row r="98" ht="14.1" hidden="1" customHeight="1" x14ac:dyDescent="0.2"/>
    <row r="99" ht="14.1" hidden="1" customHeight="1" x14ac:dyDescent="0.2"/>
    <row r="100" ht="14.1" hidden="1" customHeight="1" x14ac:dyDescent="0.2"/>
    <row r="101" ht="14.1" hidden="1" customHeight="1" x14ac:dyDescent="0.2"/>
    <row r="102" ht="14.1" hidden="1" customHeight="1" x14ac:dyDescent="0.2"/>
    <row r="103" ht="14.1" hidden="1" customHeight="1" x14ac:dyDescent="0.2"/>
    <row r="104" ht="14.1" hidden="1" customHeight="1" x14ac:dyDescent="0.2"/>
    <row r="105" ht="14.1" hidden="1" customHeight="1" x14ac:dyDescent="0.2"/>
    <row r="106" ht="14.1" hidden="1" customHeight="1" x14ac:dyDescent="0.2"/>
    <row r="107" ht="14.1" hidden="1" customHeight="1" x14ac:dyDescent="0.2"/>
    <row r="108" ht="14.1" hidden="1" customHeight="1" x14ac:dyDescent="0.2"/>
    <row r="109" ht="14.1" hidden="1" customHeight="1" x14ac:dyDescent="0.2"/>
    <row r="110" ht="14.1" hidden="1" customHeight="1" x14ac:dyDescent="0.2"/>
    <row r="111" ht="14.1" hidden="1" customHeight="1" x14ac:dyDescent="0.2"/>
    <row r="112" ht="14.1" hidden="1" customHeight="1" x14ac:dyDescent="0.2"/>
    <row r="113" ht="14.1" hidden="1" customHeight="1" x14ac:dyDescent="0.2"/>
    <row r="114" ht="14.1" hidden="1" customHeight="1" x14ac:dyDescent="0.2"/>
    <row r="115" ht="14.1" hidden="1" customHeight="1" x14ac:dyDescent="0.2"/>
    <row r="116" ht="14.1" hidden="1" customHeight="1" x14ac:dyDescent="0.2"/>
    <row r="117" ht="14.1" hidden="1" customHeight="1" x14ac:dyDescent="0.2"/>
    <row r="118" ht="14.1" hidden="1" customHeight="1" x14ac:dyDescent="0.2"/>
    <row r="119" ht="14.1" hidden="1" customHeight="1" x14ac:dyDescent="0.2"/>
    <row r="120" ht="14.1" hidden="1" customHeight="1" x14ac:dyDescent="0.2"/>
    <row r="121" ht="14.1" hidden="1" customHeight="1" x14ac:dyDescent="0.2"/>
    <row r="122" ht="14.1" hidden="1" customHeight="1" x14ac:dyDescent="0.2"/>
    <row r="123" ht="14.1" hidden="1" customHeight="1" x14ac:dyDescent="0.2"/>
    <row r="124" ht="14.1" hidden="1" customHeight="1" x14ac:dyDescent="0.2"/>
    <row r="125" ht="14.1" hidden="1" customHeight="1" x14ac:dyDescent="0.2"/>
    <row r="126" ht="14.1" hidden="1" customHeight="1" x14ac:dyDescent="0.2"/>
    <row r="127" ht="14.1" hidden="1" customHeight="1" x14ac:dyDescent="0.2"/>
    <row r="128" ht="14.1" hidden="1" customHeight="1" x14ac:dyDescent="0.2"/>
    <row r="129" ht="14.1" hidden="1" customHeight="1" x14ac:dyDescent="0.2"/>
    <row r="130" ht="14.1" hidden="1" customHeight="1" x14ac:dyDescent="0.2"/>
    <row r="131" ht="14.1" hidden="1" customHeight="1" x14ac:dyDescent="0.2"/>
    <row r="132" ht="14.1" hidden="1" customHeight="1" x14ac:dyDescent="0.2"/>
    <row r="133" ht="14.1" hidden="1" customHeight="1" x14ac:dyDescent="0.2"/>
    <row r="134" ht="14.1" hidden="1" customHeight="1" x14ac:dyDescent="0.2"/>
    <row r="135" ht="14.1" hidden="1" customHeight="1" x14ac:dyDescent="0.2"/>
    <row r="136" ht="14.1" hidden="1" customHeight="1" x14ac:dyDescent="0.2"/>
    <row r="137" ht="14.1" hidden="1" customHeight="1" x14ac:dyDescent="0.2"/>
    <row r="138" ht="14.1" hidden="1" customHeight="1" x14ac:dyDescent="0.2"/>
    <row r="139" ht="14.1" hidden="1" customHeight="1" x14ac:dyDescent="0.2"/>
    <row r="140" ht="14.1" hidden="1" customHeight="1" x14ac:dyDescent="0.2"/>
    <row r="141" ht="14.1" hidden="1" customHeight="1" x14ac:dyDescent="0.2"/>
    <row r="142" ht="14.1" hidden="1" customHeight="1" x14ac:dyDescent="0.2"/>
    <row r="143" ht="14.1" hidden="1" customHeight="1" x14ac:dyDescent="0.2"/>
    <row r="144" ht="14.1" hidden="1" customHeight="1" x14ac:dyDescent="0.2"/>
    <row r="145" ht="14.1" hidden="1" customHeight="1" x14ac:dyDescent="0.2"/>
    <row r="146" ht="14.1" hidden="1" customHeight="1" x14ac:dyDescent="0.2"/>
    <row r="147" ht="14.1" hidden="1" customHeight="1" x14ac:dyDescent="0.2"/>
    <row r="148" ht="14.1" hidden="1" customHeight="1" x14ac:dyDescent="0.2"/>
    <row r="149" ht="14.1" hidden="1" customHeight="1" x14ac:dyDescent="0.2"/>
    <row r="150" ht="14.1" hidden="1" customHeight="1" x14ac:dyDescent="0.2"/>
    <row r="151" ht="14.1" hidden="1" customHeight="1" x14ac:dyDescent="0.2"/>
    <row r="152" ht="14.1" hidden="1" customHeight="1" x14ac:dyDescent="0.2"/>
    <row r="153" ht="14.1" hidden="1" customHeight="1" x14ac:dyDescent="0.2"/>
    <row r="154" ht="14.1" hidden="1" customHeight="1" x14ac:dyDescent="0.2"/>
    <row r="155" ht="14.1" hidden="1" customHeight="1" x14ac:dyDescent="0.2"/>
    <row r="156" ht="14.1" hidden="1" customHeight="1" x14ac:dyDescent="0.2"/>
    <row r="157" ht="14.1" hidden="1" customHeight="1" x14ac:dyDescent="0.2"/>
    <row r="158" ht="14.1" hidden="1" customHeight="1" x14ac:dyDescent="0.2"/>
    <row r="159" ht="14.1" hidden="1" customHeight="1" x14ac:dyDescent="0.2"/>
    <row r="160" ht="14.1" hidden="1" customHeight="1" x14ac:dyDescent="0.2"/>
    <row r="161" ht="14.1" hidden="1" customHeight="1" x14ac:dyDescent="0.2"/>
    <row r="162" ht="14.1" hidden="1" customHeight="1" x14ac:dyDescent="0.2"/>
    <row r="163" ht="14.1" hidden="1" customHeight="1" x14ac:dyDescent="0.2"/>
    <row r="164" ht="14.1" hidden="1" customHeight="1" x14ac:dyDescent="0.2"/>
    <row r="165" ht="14.1" hidden="1" customHeight="1" x14ac:dyDescent="0.2"/>
    <row r="166" ht="14.1" hidden="1" customHeight="1" x14ac:dyDescent="0.2"/>
    <row r="167" ht="14.1" hidden="1" customHeight="1" x14ac:dyDescent="0.2"/>
    <row r="168" ht="14.1" hidden="1" customHeight="1" x14ac:dyDescent="0.2"/>
    <row r="169" ht="14.1" hidden="1" customHeight="1" x14ac:dyDescent="0.2"/>
    <row r="170" ht="14.1" hidden="1" customHeight="1" x14ac:dyDescent="0.2"/>
    <row r="171" ht="14.1" hidden="1" customHeight="1" x14ac:dyDescent="0.2"/>
    <row r="172" ht="14.1" hidden="1" customHeight="1" x14ac:dyDescent="0.2"/>
    <row r="173" ht="14.1" hidden="1" customHeight="1" x14ac:dyDescent="0.2"/>
    <row r="174" ht="14.1" hidden="1" customHeight="1" x14ac:dyDescent="0.2"/>
    <row r="175" ht="14.1" hidden="1" customHeight="1" x14ac:dyDescent="0.2"/>
    <row r="176" ht="14.1" hidden="1" customHeight="1" x14ac:dyDescent="0.2"/>
    <row r="177" ht="14.1" hidden="1" customHeight="1" x14ac:dyDescent="0.2"/>
    <row r="178" ht="14.1" hidden="1" customHeight="1" x14ac:dyDescent="0.2"/>
    <row r="179" ht="14.1" hidden="1" customHeight="1" x14ac:dyDescent="0.2"/>
    <row r="180" ht="14.1" hidden="1" customHeight="1" x14ac:dyDescent="0.2"/>
    <row r="181" ht="14.1" hidden="1" customHeight="1" x14ac:dyDescent="0.2"/>
    <row r="182" ht="14.1" hidden="1" customHeight="1" x14ac:dyDescent="0.2"/>
    <row r="183" ht="14.1" hidden="1" customHeight="1" x14ac:dyDescent="0.2"/>
    <row r="184" ht="14.1" hidden="1" customHeight="1" x14ac:dyDescent="0.2"/>
    <row r="185" ht="14.1" hidden="1" customHeight="1" x14ac:dyDescent="0.2"/>
    <row r="186" ht="14.1" hidden="1" customHeight="1" x14ac:dyDescent="0.2"/>
    <row r="187" ht="14.1" hidden="1" customHeight="1" x14ac:dyDescent="0.2"/>
    <row r="188" ht="14.1" hidden="1" customHeight="1" x14ac:dyDescent="0.2"/>
    <row r="189" ht="14.1" hidden="1" customHeight="1" x14ac:dyDescent="0.2"/>
    <row r="190" ht="14.1" hidden="1" customHeight="1" x14ac:dyDescent="0.2"/>
    <row r="191" ht="14.1" hidden="1" customHeight="1" x14ac:dyDescent="0.2"/>
    <row r="192" ht="14.1" hidden="1" customHeight="1" x14ac:dyDescent="0.2"/>
    <row r="193" ht="14.1" hidden="1" customHeight="1" x14ac:dyDescent="0.2"/>
    <row r="194" ht="14.1" hidden="1" customHeight="1" x14ac:dyDescent="0.2"/>
    <row r="195" ht="14.1" hidden="1" customHeight="1" x14ac:dyDescent="0.2"/>
    <row r="196" ht="14.1" hidden="1" customHeight="1" x14ac:dyDescent="0.2"/>
    <row r="197" ht="14.1" hidden="1" customHeight="1" x14ac:dyDescent="0.2"/>
    <row r="198" ht="14.1" hidden="1" customHeight="1" x14ac:dyDescent="0.2"/>
    <row r="199" ht="14.1" hidden="1" customHeight="1" x14ac:dyDescent="0.2"/>
    <row r="200" ht="14.1" hidden="1" customHeight="1" x14ac:dyDescent="0.2"/>
    <row r="201" ht="14.1" hidden="1" customHeight="1" x14ac:dyDescent="0.2"/>
    <row r="202" ht="14.1" hidden="1" customHeight="1" x14ac:dyDescent="0.2"/>
    <row r="203" ht="14.1" hidden="1" customHeight="1" x14ac:dyDescent="0.2"/>
    <row r="204" ht="14.1" hidden="1" customHeight="1" x14ac:dyDescent="0.2"/>
    <row r="205" ht="14.1" hidden="1" customHeight="1" x14ac:dyDescent="0.2"/>
    <row r="206" ht="14.1" hidden="1" customHeight="1" x14ac:dyDescent="0.2"/>
    <row r="207" ht="14.1" hidden="1" customHeight="1" x14ac:dyDescent="0.2"/>
    <row r="208" ht="14.1" hidden="1" customHeight="1" x14ac:dyDescent="0.2"/>
    <row r="209" ht="14.1" hidden="1" customHeight="1" x14ac:dyDescent="0.2"/>
    <row r="210" ht="14.1" hidden="1" customHeight="1" x14ac:dyDescent="0.2"/>
    <row r="211" ht="14.1" hidden="1" customHeight="1" x14ac:dyDescent="0.2"/>
    <row r="212" ht="14.1" hidden="1" customHeight="1" x14ac:dyDescent="0.2"/>
    <row r="213" ht="14.1" hidden="1" customHeight="1" x14ac:dyDescent="0.2"/>
    <row r="214" ht="14.1" hidden="1" customHeight="1" x14ac:dyDescent="0.2"/>
    <row r="215" ht="14.1" hidden="1" customHeight="1" x14ac:dyDescent="0.2"/>
    <row r="216" ht="14.1" hidden="1" customHeight="1" x14ac:dyDescent="0.2"/>
    <row r="217" ht="14.1" hidden="1" customHeight="1" x14ac:dyDescent="0.2"/>
    <row r="218" ht="14.1" hidden="1" customHeight="1" x14ac:dyDescent="0.2"/>
    <row r="219" ht="14.1" hidden="1" customHeight="1" x14ac:dyDescent="0.2"/>
    <row r="220" ht="14.1" hidden="1" customHeight="1" x14ac:dyDescent="0.2"/>
    <row r="221" ht="14.1" hidden="1" customHeight="1" x14ac:dyDescent="0.2"/>
    <row r="222" ht="14.1" hidden="1" customHeight="1" x14ac:dyDescent="0.2"/>
    <row r="223" ht="14.1" hidden="1" customHeight="1" x14ac:dyDescent="0.2"/>
    <row r="224" ht="14.1" hidden="1" customHeight="1" x14ac:dyDescent="0.2"/>
    <row r="225" ht="14.1" hidden="1" customHeight="1" x14ac:dyDescent="0.2"/>
    <row r="226" ht="14.1" hidden="1" customHeight="1" x14ac:dyDescent="0.2"/>
    <row r="227" ht="14.1" hidden="1" customHeight="1" x14ac:dyDescent="0.2"/>
    <row r="228" ht="14.1" hidden="1" customHeight="1" x14ac:dyDescent="0.2"/>
    <row r="229" ht="14.1" hidden="1" customHeight="1" x14ac:dyDescent="0.2"/>
    <row r="230" ht="14.1" hidden="1" customHeight="1" x14ac:dyDescent="0.2"/>
    <row r="231" ht="14.1" hidden="1" customHeight="1" x14ac:dyDescent="0.2"/>
    <row r="232" ht="14.1" hidden="1" customHeight="1" x14ac:dyDescent="0.2"/>
    <row r="233" ht="14.1" hidden="1" customHeight="1" x14ac:dyDescent="0.2"/>
    <row r="234" ht="14.1" hidden="1" customHeight="1" x14ac:dyDescent="0.2"/>
    <row r="235" ht="14.1" hidden="1" customHeight="1" x14ac:dyDescent="0.2"/>
    <row r="236" ht="14.1" hidden="1" customHeight="1" x14ac:dyDescent="0.2"/>
    <row r="237" ht="14.1" hidden="1" customHeight="1" x14ac:dyDescent="0.2"/>
    <row r="238" ht="14.1" hidden="1" customHeight="1" x14ac:dyDescent="0.2"/>
    <row r="239" ht="14.1" hidden="1" customHeight="1" x14ac:dyDescent="0.2"/>
    <row r="240" ht="14.1" hidden="1" customHeight="1" x14ac:dyDescent="0.2"/>
    <row r="241" ht="14.1" hidden="1" customHeight="1" x14ac:dyDescent="0.2"/>
    <row r="242" ht="14.1" hidden="1" customHeight="1" x14ac:dyDescent="0.2"/>
    <row r="243" ht="14.1" hidden="1" customHeight="1" x14ac:dyDescent="0.2"/>
    <row r="244" ht="14.1" hidden="1" customHeight="1" x14ac:dyDescent="0.2"/>
    <row r="245" ht="14.1" hidden="1" customHeight="1" x14ac:dyDescent="0.2"/>
    <row r="246" ht="14.1" hidden="1" customHeight="1" x14ac:dyDescent="0.2"/>
    <row r="247" ht="14.1" hidden="1" customHeight="1" x14ac:dyDescent="0.2"/>
    <row r="248" ht="14.1" hidden="1" customHeight="1" x14ac:dyDescent="0.2"/>
    <row r="249" ht="14.1" hidden="1" customHeight="1" x14ac:dyDescent="0.2"/>
    <row r="250" ht="14.1" hidden="1" customHeight="1" x14ac:dyDescent="0.2"/>
    <row r="251" ht="14.1" hidden="1" customHeight="1" x14ac:dyDescent="0.2"/>
    <row r="252" ht="14.1" hidden="1" customHeight="1" x14ac:dyDescent="0.2"/>
    <row r="253" ht="14.1" hidden="1" customHeight="1" x14ac:dyDescent="0.2"/>
    <row r="254" ht="14.1" hidden="1" customHeight="1" x14ac:dyDescent="0.2"/>
    <row r="255" ht="14.1" hidden="1" customHeight="1" x14ac:dyDescent="0.2"/>
    <row r="256" ht="14.1" hidden="1" customHeight="1" x14ac:dyDescent="0.2"/>
    <row r="257" ht="14.1" hidden="1" customHeight="1" x14ac:dyDescent="0.2"/>
    <row r="258" ht="14.1" hidden="1" customHeight="1" x14ac:dyDescent="0.2"/>
    <row r="259" ht="14.1" hidden="1" customHeight="1" x14ac:dyDescent="0.2"/>
    <row r="260" ht="14.1" hidden="1" customHeight="1" x14ac:dyDescent="0.2"/>
    <row r="261" ht="14.1" hidden="1" customHeight="1" x14ac:dyDescent="0.2"/>
    <row r="262" ht="14.1" hidden="1" customHeight="1" x14ac:dyDescent="0.2"/>
    <row r="263" ht="14.1" hidden="1" customHeight="1" x14ac:dyDescent="0.2"/>
    <row r="264" ht="14.1" hidden="1" customHeight="1" x14ac:dyDescent="0.2"/>
    <row r="265" ht="14.1" hidden="1" customHeight="1" x14ac:dyDescent="0.2"/>
    <row r="266" ht="14.1" hidden="1" customHeight="1" x14ac:dyDescent="0.2"/>
    <row r="267" ht="14.1" hidden="1" customHeight="1" x14ac:dyDescent="0.2"/>
    <row r="268" ht="14.1" hidden="1" customHeight="1" x14ac:dyDescent="0.2"/>
    <row r="269" ht="14.1" hidden="1" customHeight="1" x14ac:dyDescent="0.2"/>
    <row r="270" ht="14.1" hidden="1" customHeight="1" x14ac:dyDescent="0.2"/>
    <row r="271" ht="14.1" hidden="1" customHeight="1" x14ac:dyDescent="0.2"/>
    <row r="272" ht="14.1" hidden="1" customHeight="1" x14ac:dyDescent="0.2"/>
    <row r="273" ht="14.1" hidden="1" customHeight="1" x14ac:dyDescent="0.2"/>
    <row r="274" ht="14.1" hidden="1" customHeight="1" x14ac:dyDescent="0.2"/>
    <row r="275" ht="14.1" hidden="1" customHeight="1" x14ac:dyDescent="0.2"/>
    <row r="276" ht="14.1" hidden="1" customHeight="1" x14ac:dyDescent="0.2"/>
    <row r="277" ht="14.1" hidden="1" customHeight="1" x14ac:dyDescent="0.2"/>
    <row r="278" ht="14.1" hidden="1" customHeight="1" x14ac:dyDescent="0.2"/>
    <row r="279" ht="14.1" hidden="1" customHeight="1" x14ac:dyDescent="0.2"/>
    <row r="280" ht="14.1" hidden="1" customHeight="1" x14ac:dyDescent="0.2"/>
    <row r="281" ht="14.1" hidden="1" customHeight="1" x14ac:dyDescent="0.2"/>
    <row r="282" ht="14.1" hidden="1" customHeight="1" x14ac:dyDescent="0.2"/>
    <row r="283" ht="14.1" hidden="1" customHeight="1" x14ac:dyDescent="0.2"/>
    <row r="284" ht="14.1" hidden="1" customHeight="1" x14ac:dyDescent="0.2"/>
    <row r="285" ht="14.1" hidden="1" customHeight="1" x14ac:dyDescent="0.2"/>
    <row r="286" ht="14.1" hidden="1" customHeight="1" x14ac:dyDescent="0.2"/>
    <row r="287" ht="14.1" hidden="1" customHeight="1" x14ac:dyDescent="0.2"/>
    <row r="288" ht="14.1" hidden="1" customHeight="1" x14ac:dyDescent="0.2"/>
    <row r="289" ht="14.1" hidden="1" customHeight="1" x14ac:dyDescent="0.2"/>
    <row r="290" ht="14.1" hidden="1" customHeight="1" x14ac:dyDescent="0.2"/>
    <row r="291" ht="14.1" hidden="1" customHeight="1" x14ac:dyDescent="0.2"/>
    <row r="292" ht="14.1" hidden="1" customHeight="1" x14ac:dyDescent="0.2"/>
    <row r="293" ht="14.1" hidden="1" customHeight="1" x14ac:dyDescent="0.2"/>
    <row r="294" ht="14.1" hidden="1" customHeight="1" x14ac:dyDescent="0.2"/>
    <row r="295" ht="14.1" hidden="1" customHeight="1" x14ac:dyDescent="0.2"/>
    <row r="296" ht="14.1" hidden="1" customHeight="1" x14ac:dyDescent="0.2"/>
    <row r="297" ht="14.1" hidden="1" customHeight="1" x14ac:dyDescent="0.2"/>
    <row r="298" ht="14.1" hidden="1" customHeight="1" x14ac:dyDescent="0.2"/>
    <row r="299" ht="14.1" hidden="1" customHeight="1" x14ac:dyDescent="0.2"/>
    <row r="300" ht="14.1" hidden="1" customHeight="1" x14ac:dyDescent="0.2"/>
    <row r="301" ht="14.1" hidden="1" customHeight="1" x14ac:dyDescent="0.2"/>
    <row r="302" ht="14.1" hidden="1" customHeight="1" x14ac:dyDescent="0.2"/>
    <row r="303" ht="14.1" hidden="1" customHeight="1" x14ac:dyDescent="0.2"/>
    <row r="304" ht="14.1" hidden="1" customHeight="1" x14ac:dyDescent="0.2"/>
    <row r="305" ht="14.1" hidden="1" customHeight="1" x14ac:dyDescent="0.2"/>
    <row r="306" ht="14.1" hidden="1" customHeight="1" x14ac:dyDescent="0.2"/>
    <row r="307" ht="14.1" hidden="1" customHeight="1" x14ac:dyDescent="0.2"/>
    <row r="308" ht="14.1" hidden="1" customHeight="1" x14ac:dyDescent="0.2"/>
    <row r="309" ht="14.1" hidden="1" customHeight="1" x14ac:dyDescent="0.2"/>
    <row r="310" ht="14.1" hidden="1" customHeight="1" x14ac:dyDescent="0.2"/>
    <row r="311" ht="14.1" hidden="1" customHeight="1" x14ac:dyDescent="0.2"/>
    <row r="312" ht="14.1" hidden="1" customHeight="1" x14ac:dyDescent="0.2"/>
    <row r="313" ht="14.1" hidden="1" customHeight="1" x14ac:dyDescent="0.2"/>
    <row r="314" ht="14.1" hidden="1" customHeight="1" x14ac:dyDescent="0.2"/>
    <row r="315" ht="14.1" hidden="1" customHeight="1" x14ac:dyDescent="0.2"/>
    <row r="316" ht="14.1" hidden="1" customHeight="1" x14ac:dyDescent="0.2"/>
    <row r="317" ht="14.1" hidden="1" customHeight="1" x14ac:dyDescent="0.2"/>
    <row r="318" ht="14.1" hidden="1" customHeight="1" x14ac:dyDescent="0.2"/>
    <row r="319" ht="14.1" hidden="1" customHeight="1" x14ac:dyDescent="0.2"/>
    <row r="320" ht="14.1" hidden="1" customHeight="1" x14ac:dyDescent="0.2"/>
    <row r="321" ht="14.1" hidden="1" customHeight="1" x14ac:dyDescent="0.2"/>
    <row r="322" ht="14.1" hidden="1" customHeight="1" x14ac:dyDescent="0.2"/>
    <row r="323" ht="14.1" hidden="1" customHeight="1" x14ac:dyDescent="0.2"/>
    <row r="324" ht="14.1" hidden="1" customHeight="1" x14ac:dyDescent="0.2"/>
    <row r="325" ht="14.1" hidden="1" customHeight="1" x14ac:dyDescent="0.2"/>
    <row r="326" ht="14.1" hidden="1" customHeight="1" x14ac:dyDescent="0.2"/>
    <row r="327" ht="14.1" hidden="1" customHeight="1" x14ac:dyDescent="0.2"/>
    <row r="328" ht="14.1" hidden="1" customHeight="1" x14ac:dyDescent="0.2"/>
    <row r="329" ht="14.1" hidden="1" customHeight="1" x14ac:dyDescent="0.2"/>
    <row r="330" ht="14.1" hidden="1" customHeight="1" x14ac:dyDescent="0.2"/>
    <row r="331" ht="14.1" hidden="1" customHeight="1" x14ac:dyDescent="0.2"/>
    <row r="332" ht="14.1" hidden="1" customHeight="1" x14ac:dyDescent="0.2"/>
    <row r="333" ht="14.1" hidden="1" customHeight="1" x14ac:dyDescent="0.2"/>
    <row r="334" ht="14.1" hidden="1" customHeight="1" x14ac:dyDescent="0.2"/>
    <row r="335" ht="14.1" hidden="1" customHeight="1" x14ac:dyDescent="0.2"/>
    <row r="336" ht="14.1" hidden="1" customHeight="1" x14ac:dyDescent="0.2"/>
    <row r="337" ht="14.1" hidden="1" customHeight="1" x14ac:dyDescent="0.2"/>
    <row r="338" ht="14.1" hidden="1" customHeight="1" x14ac:dyDescent="0.2"/>
    <row r="339" ht="14.1" hidden="1" customHeight="1" x14ac:dyDescent="0.2"/>
    <row r="340" ht="14.1" hidden="1" customHeight="1" x14ac:dyDescent="0.2"/>
    <row r="341" ht="14.1" hidden="1" customHeight="1" x14ac:dyDescent="0.2"/>
    <row r="342" ht="14.1" hidden="1" customHeight="1" x14ac:dyDescent="0.2"/>
    <row r="343" ht="14.1" hidden="1" customHeight="1" x14ac:dyDescent="0.2"/>
    <row r="344" ht="14.1" hidden="1" customHeight="1" x14ac:dyDescent="0.2"/>
    <row r="345" ht="14.1" hidden="1" customHeight="1" x14ac:dyDescent="0.2"/>
    <row r="346" ht="14.1" hidden="1" customHeight="1" x14ac:dyDescent="0.2"/>
    <row r="347" ht="14.1" hidden="1" customHeight="1" x14ac:dyDescent="0.2"/>
    <row r="348" ht="14.1" hidden="1" customHeight="1" x14ac:dyDescent="0.2"/>
    <row r="349" ht="14.1" hidden="1" customHeight="1" x14ac:dyDescent="0.2"/>
    <row r="350" ht="14.1" hidden="1" customHeight="1" x14ac:dyDescent="0.2"/>
    <row r="351" ht="14.1" hidden="1" customHeight="1" x14ac:dyDescent="0.2"/>
    <row r="352" ht="14.1" hidden="1" customHeight="1" x14ac:dyDescent="0.2"/>
    <row r="353" ht="14.1" hidden="1" customHeight="1" x14ac:dyDescent="0.2"/>
    <row r="354" ht="14.1" hidden="1" customHeight="1" x14ac:dyDescent="0.2"/>
    <row r="355" ht="14.1" hidden="1" customHeight="1" x14ac:dyDescent="0.2"/>
    <row r="356" ht="14.1" hidden="1" customHeight="1" x14ac:dyDescent="0.2"/>
    <row r="357" ht="14.1" hidden="1" customHeight="1" x14ac:dyDescent="0.2"/>
    <row r="358" ht="14.1" hidden="1" customHeight="1" x14ac:dyDescent="0.2"/>
    <row r="359" ht="14.1" hidden="1" customHeight="1" x14ac:dyDescent="0.2"/>
    <row r="360" ht="14.1" hidden="1" customHeight="1" x14ac:dyDescent="0.2"/>
    <row r="361" ht="14.1" hidden="1" customHeight="1" x14ac:dyDescent="0.2"/>
    <row r="362" ht="14.1" hidden="1" customHeight="1" x14ac:dyDescent="0.2"/>
    <row r="363" ht="14.1" hidden="1" customHeight="1" x14ac:dyDescent="0.2"/>
    <row r="364" ht="14.1" hidden="1" customHeight="1" x14ac:dyDescent="0.2"/>
    <row r="365" ht="14.1" hidden="1" customHeight="1" x14ac:dyDescent="0.2"/>
    <row r="366" ht="14.1" hidden="1" customHeight="1" x14ac:dyDescent="0.2"/>
    <row r="367" ht="14.1" hidden="1" customHeight="1" x14ac:dyDescent="0.2"/>
    <row r="368" ht="14.1" hidden="1" customHeight="1" x14ac:dyDescent="0.2"/>
    <row r="369" ht="14.1" hidden="1" customHeight="1" x14ac:dyDescent="0.2"/>
    <row r="370" ht="14.1" hidden="1" customHeight="1" x14ac:dyDescent="0.2"/>
    <row r="371" ht="14.1" hidden="1" customHeight="1" x14ac:dyDescent="0.2"/>
    <row r="372" ht="14.1" hidden="1" customHeight="1" x14ac:dyDescent="0.2"/>
    <row r="373" ht="14.1" hidden="1" customHeight="1" x14ac:dyDescent="0.2"/>
    <row r="374" ht="14.1" hidden="1" customHeight="1" x14ac:dyDescent="0.2"/>
    <row r="375" ht="14.1" hidden="1" customHeight="1" x14ac:dyDescent="0.2"/>
    <row r="376" ht="14.1" hidden="1" customHeight="1" x14ac:dyDescent="0.2"/>
    <row r="377" ht="14.1" hidden="1" customHeight="1" x14ac:dyDescent="0.2"/>
    <row r="378" ht="14.1" hidden="1" customHeight="1" x14ac:dyDescent="0.2"/>
    <row r="379" ht="14.1" hidden="1" customHeight="1" x14ac:dyDescent="0.2"/>
    <row r="380" ht="14.1" hidden="1" customHeight="1" x14ac:dyDescent="0.2"/>
    <row r="381" ht="14.1" hidden="1" customHeight="1" x14ac:dyDescent="0.2"/>
    <row r="382" ht="14.1" hidden="1" customHeight="1" x14ac:dyDescent="0.2"/>
    <row r="383" ht="14.1" hidden="1" customHeight="1" x14ac:dyDescent="0.2"/>
    <row r="384" ht="14.1" hidden="1" customHeight="1" x14ac:dyDescent="0.2"/>
    <row r="385" ht="14.1" hidden="1" customHeight="1" x14ac:dyDescent="0.2"/>
    <row r="386" ht="14.1" hidden="1" customHeight="1" x14ac:dyDescent="0.2"/>
    <row r="387" ht="14.1" hidden="1" customHeight="1" x14ac:dyDescent="0.2"/>
    <row r="388" ht="14.1" hidden="1" customHeight="1" x14ac:dyDescent="0.2"/>
    <row r="389" ht="14.1" hidden="1" customHeight="1" x14ac:dyDescent="0.2"/>
    <row r="390" ht="14.1" hidden="1" customHeight="1" x14ac:dyDescent="0.2"/>
    <row r="391" ht="14.1" hidden="1" customHeight="1" x14ac:dyDescent="0.2"/>
    <row r="392" ht="14.1" hidden="1" customHeight="1" x14ac:dyDescent="0.2"/>
    <row r="393" ht="14.1" hidden="1" customHeight="1" x14ac:dyDescent="0.2"/>
    <row r="394" ht="14.1" hidden="1" customHeight="1" x14ac:dyDescent="0.2"/>
    <row r="395" ht="14.1" hidden="1" customHeight="1" x14ac:dyDescent="0.2"/>
    <row r="396" ht="14.1" hidden="1" customHeight="1" x14ac:dyDescent="0.2"/>
    <row r="397" ht="14.1" hidden="1" customHeight="1" x14ac:dyDescent="0.2"/>
    <row r="398" ht="14.1" hidden="1" customHeight="1" x14ac:dyDescent="0.2"/>
    <row r="399" ht="14.1" hidden="1" customHeight="1" x14ac:dyDescent="0.2"/>
    <row r="400" ht="14.1" hidden="1" customHeight="1" x14ac:dyDescent="0.2"/>
    <row r="401" ht="14.1" hidden="1" customHeight="1" x14ac:dyDescent="0.2"/>
    <row r="402" ht="14.1" hidden="1" customHeight="1" x14ac:dyDescent="0.2"/>
    <row r="403" ht="14.1" hidden="1" customHeight="1" x14ac:dyDescent="0.2"/>
    <row r="404" ht="14.1" hidden="1" customHeight="1" x14ac:dyDescent="0.2"/>
    <row r="405" ht="14.1" hidden="1" customHeight="1" x14ac:dyDescent="0.2"/>
    <row r="406" ht="14.1" hidden="1" customHeight="1" x14ac:dyDescent="0.2"/>
    <row r="407" ht="14.1" hidden="1" customHeight="1" x14ac:dyDescent="0.2"/>
    <row r="408" ht="14.1" hidden="1" customHeight="1" x14ac:dyDescent="0.2"/>
    <row r="409" ht="14.1" hidden="1" customHeight="1" x14ac:dyDescent="0.2"/>
    <row r="410" ht="14.1" hidden="1" customHeight="1" x14ac:dyDescent="0.2"/>
    <row r="411" ht="14.1" hidden="1" customHeight="1" x14ac:dyDescent="0.2"/>
    <row r="412" ht="14.1" hidden="1" customHeight="1" x14ac:dyDescent="0.2"/>
    <row r="413" ht="14.1" hidden="1" customHeight="1" x14ac:dyDescent="0.2"/>
    <row r="414" ht="14.1" hidden="1" customHeight="1" x14ac:dyDescent="0.2"/>
    <row r="415" ht="14.1" hidden="1" customHeight="1" x14ac:dyDescent="0.2"/>
    <row r="416" ht="14.1" hidden="1" customHeight="1" x14ac:dyDescent="0.2"/>
    <row r="417" ht="14.1" hidden="1" customHeight="1" x14ac:dyDescent="0.2"/>
    <row r="418" ht="14.1" hidden="1" customHeight="1" x14ac:dyDescent="0.2"/>
    <row r="419" ht="14.1" hidden="1" customHeight="1" x14ac:dyDescent="0.2"/>
    <row r="420" ht="14.1" hidden="1" customHeight="1" x14ac:dyDescent="0.2"/>
    <row r="421" ht="14.1" hidden="1" customHeight="1" x14ac:dyDescent="0.2"/>
    <row r="422" ht="14.1" hidden="1" customHeight="1" x14ac:dyDescent="0.2"/>
    <row r="423" ht="14.1" hidden="1" customHeight="1" x14ac:dyDescent="0.2"/>
    <row r="424" ht="14.1" hidden="1" customHeight="1" x14ac:dyDescent="0.2"/>
    <row r="425" ht="14.1" hidden="1" customHeight="1" x14ac:dyDescent="0.2"/>
    <row r="426" ht="14.1" hidden="1" customHeight="1" x14ac:dyDescent="0.2"/>
    <row r="427" ht="14.1" hidden="1" customHeight="1" x14ac:dyDescent="0.2"/>
    <row r="428" ht="14.1" hidden="1" customHeight="1" x14ac:dyDescent="0.2"/>
    <row r="429" ht="14.1" hidden="1" customHeight="1" x14ac:dyDescent="0.2"/>
    <row r="430" ht="14.1" hidden="1" customHeight="1" x14ac:dyDescent="0.2"/>
    <row r="431" ht="14.1" hidden="1" customHeight="1" x14ac:dyDescent="0.2"/>
    <row r="432" ht="14.1" hidden="1" customHeight="1" x14ac:dyDescent="0.2"/>
    <row r="433" ht="14.1" hidden="1" customHeight="1" x14ac:dyDescent="0.2"/>
    <row r="434" ht="14.1" hidden="1" customHeight="1" x14ac:dyDescent="0.2"/>
    <row r="435" ht="14.1" hidden="1" customHeight="1" x14ac:dyDescent="0.2"/>
    <row r="436" ht="14.1" hidden="1" customHeight="1" x14ac:dyDescent="0.2"/>
    <row r="437" ht="14.1" hidden="1" customHeight="1" x14ac:dyDescent="0.2"/>
    <row r="438" ht="14.1" hidden="1" customHeight="1" x14ac:dyDescent="0.2"/>
    <row r="439" ht="14.1" hidden="1" customHeight="1" x14ac:dyDescent="0.2"/>
    <row r="440" ht="14.1" hidden="1" customHeight="1" x14ac:dyDescent="0.2"/>
    <row r="441" ht="14.1" hidden="1" customHeight="1" x14ac:dyDescent="0.2"/>
    <row r="442" ht="14.1" hidden="1" customHeight="1" x14ac:dyDescent="0.2"/>
    <row r="443" ht="14.1" hidden="1" customHeight="1" x14ac:dyDescent="0.2"/>
    <row r="444" ht="14.1" hidden="1" customHeight="1" x14ac:dyDescent="0.2"/>
    <row r="445" ht="14.1" hidden="1" customHeight="1" x14ac:dyDescent="0.2"/>
    <row r="446" ht="14.1" hidden="1" customHeight="1" x14ac:dyDescent="0.2"/>
    <row r="447" ht="14.1" hidden="1" customHeight="1" x14ac:dyDescent="0.2"/>
    <row r="448" ht="14.1" hidden="1" customHeight="1" x14ac:dyDescent="0.2"/>
    <row r="449" ht="14.1" hidden="1" customHeight="1" x14ac:dyDescent="0.2"/>
    <row r="450" ht="14.1" hidden="1" customHeight="1" x14ac:dyDescent="0.2"/>
    <row r="451" ht="14.1" hidden="1" customHeight="1" x14ac:dyDescent="0.2"/>
    <row r="452" ht="14.1" hidden="1" customHeight="1" x14ac:dyDescent="0.2"/>
    <row r="453" ht="14.1" hidden="1" customHeight="1" x14ac:dyDescent="0.2"/>
    <row r="454" ht="14.1" hidden="1" customHeight="1" x14ac:dyDescent="0.2"/>
    <row r="455" ht="14.1" hidden="1" customHeight="1" x14ac:dyDescent="0.2"/>
    <row r="456" ht="14.1" hidden="1" customHeight="1" x14ac:dyDescent="0.2"/>
    <row r="457" ht="14.1" hidden="1" customHeight="1" x14ac:dyDescent="0.2"/>
    <row r="458" ht="14.1" hidden="1" customHeight="1" x14ac:dyDescent="0.2"/>
    <row r="459" ht="14.1" hidden="1" customHeight="1" x14ac:dyDescent="0.2"/>
    <row r="460" ht="14.1" hidden="1" customHeight="1" x14ac:dyDescent="0.2"/>
    <row r="461" ht="14.1" hidden="1" customHeight="1" x14ac:dyDescent="0.2"/>
    <row r="462" ht="14.1" hidden="1" customHeight="1" x14ac:dyDescent="0.2"/>
    <row r="463" ht="14.1" hidden="1" customHeight="1" x14ac:dyDescent="0.2"/>
    <row r="464" ht="14.1" hidden="1" customHeight="1" x14ac:dyDescent="0.2"/>
    <row r="465" ht="14.1" hidden="1" customHeight="1" x14ac:dyDescent="0.2"/>
    <row r="466" ht="14.1" hidden="1" customHeight="1" x14ac:dyDescent="0.2"/>
    <row r="467" ht="14.1" hidden="1" customHeight="1" x14ac:dyDescent="0.2"/>
    <row r="468" ht="14.1" hidden="1" customHeight="1" x14ac:dyDescent="0.2"/>
    <row r="469" ht="14.1" hidden="1" customHeight="1" x14ac:dyDescent="0.2"/>
    <row r="470" ht="14.1" hidden="1" customHeight="1" x14ac:dyDescent="0.2"/>
    <row r="471" ht="14.1" hidden="1" customHeight="1" x14ac:dyDescent="0.2"/>
    <row r="472" ht="14.1" hidden="1" customHeight="1" x14ac:dyDescent="0.2"/>
    <row r="473" ht="14.1" hidden="1" customHeight="1" x14ac:dyDescent="0.2"/>
    <row r="474" ht="14.1" hidden="1" customHeight="1" x14ac:dyDescent="0.2"/>
    <row r="475" ht="14.1" hidden="1" customHeight="1" x14ac:dyDescent="0.2"/>
    <row r="476" ht="14.1" hidden="1" customHeight="1" x14ac:dyDescent="0.2"/>
    <row r="477" ht="14.1" hidden="1" customHeight="1" x14ac:dyDescent="0.2"/>
    <row r="478" ht="14.1" hidden="1" customHeight="1" x14ac:dyDescent="0.2"/>
    <row r="479" ht="14.1" hidden="1" customHeight="1" x14ac:dyDescent="0.2"/>
    <row r="480" ht="14.1" hidden="1" customHeight="1" x14ac:dyDescent="0.2"/>
    <row r="481" ht="14.1" hidden="1" customHeight="1" x14ac:dyDescent="0.2"/>
    <row r="482" ht="14.1" hidden="1" customHeight="1" x14ac:dyDescent="0.2"/>
    <row r="483" ht="14.1" hidden="1" customHeight="1" x14ac:dyDescent="0.2"/>
    <row r="484" ht="14.1" hidden="1" customHeight="1" x14ac:dyDescent="0.2"/>
    <row r="485" ht="14.1" hidden="1" customHeight="1" x14ac:dyDescent="0.2"/>
    <row r="486" ht="14.1" hidden="1" customHeight="1" x14ac:dyDescent="0.2"/>
    <row r="487" ht="14.1" hidden="1" customHeight="1" x14ac:dyDescent="0.2"/>
    <row r="488" ht="14.1" hidden="1" customHeight="1" x14ac:dyDescent="0.2"/>
    <row r="489" ht="14.1" hidden="1" customHeight="1" x14ac:dyDescent="0.2"/>
    <row r="490" ht="14.1" hidden="1" customHeight="1" x14ac:dyDescent="0.2"/>
    <row r="491" ht="14.1" hidden="1" customHeight="1" x14ac:dyDescent="0.2"/>
    <row r="492" ht="14.1" hidden="1" customHeight="1" x14ac:dyDescent="0.2"/>
    <row r="493" ht="14.1" hidden="1" customHeight="1" x14ac:dyDescent="0.2"/>
    <row r="494" ht="14.1" hidden="1" customHeight="1" x14ac:dyDescent="0.2"/>
    <row r="495" ht="14.1" hidden="1" customHeight="1" x14ac:dyDescent="0.2"/>
    <row r="496" ht="14.1" hidden="1" customHeight="1" x14ac:dyDescent="0.2"/>
    <row r="497" ht="14.1" hidden="1" customHeight="1" x14ac:dyDescent="0.2"/>
    <row r="498" ht="14.1" hidden="1" customHeight="1" x14ac:dyDescent="0.2"/>
    <row r="499" ht="14.1" hidden="1" customHeight="1" x14ac:dyDescent="0.2"/>
    <row r="500" ht="14.1" hidden="1" customHeight="1" x14ac:dyDescent="0.2"/>
    <row r="501" ht="14.1" hidden="1" customHeight="1" x14ac:dyDescent="0.2"/>
    <row r="502" ht="14.1" hidden="1" customHeight="1" x14ac:dyDescent="0.2"/>
    <row r="503" ht="14.1" hidden="1" customHeight="1" x14ac:dyDescent="0.2"/>
    <row r="504" ht="14.1" hidden="1" customHeight="1" x14ac:dyDescent="0.2"/>
    <row r="505" ht="14.1" hidden="1" customHeight="1" x14ac:dyDescent="0.2"/>
    <row r="506" ht="14.1" hidden="1" customHeight="1" x14ac:dyDescent="0.2"/>
    <row r="507" ht="14.1" hidden="1" customHeight="1" x14ac:dyDescent="0.2"/>
    <row r="508" ht="14.1" hidden="1" customHeight="1" x14ac:dyDescent="0.2"/>
    <row r="509" ht="14.1" hidden="1" customHeight="1" x14ac:dyDescent="0.2"/>
    <row r="510" ht="14.1" hidden="1" customHeight="1" x14ac:dyDescent="0.2"/>
    <row r="511" ht="14.1" hidden="1" customHeight="1" x14ac:dyDescent="0.2"/>
    <row r="512" ht="14.1" hidden="1" customHeight="1" x14ac:dyDescent="0.2"/>
    <row r="513" ht="14.1" hidden="1" customHeight="1" x14ac:dyDescent="0.2"/>
    <row r="514" ht="14.1" hidden="1" customHeight="1" x14ac:dyDescent="0.2"/>
    <row r="515" ht="14.1" hidden="1" customHeight="1" x14ac:dyDescent="0.2"/>
    <row r="516" ht="14.1" hidden="1" customHeight="1" x14ac:dyDescent="0.2"/>
    <row r="517" ht="14.1" hidden="1" customHeight="1" x14ac:dyDescent="0.2"/>
    <row r="518" ht="14.1" hidden="1" customHeight="1" x14ac:dyDescent="0.2"/>
    <row r="519" ht="14.1" hidden="1" customHeight="1" x14ac:dyDescent="0.2"/>
    <row r="520" ht="14.1" hidden="1" customHeight="1" x14ac:dyDescent="0.2"/>
    <row r="521" ht="14.1" hidden="1" customHeight="1" x14ac:dyDescent="0.2"/>
    <row r="522" ht="14.1" hidden="1" customHeight="1" x14ac:dyDescent="0.2"/>
    <row r="523" ht="14.1" hidden="1" customHeight="1" x14ac:dyDescent="0.2"/>
    <row r="524" ht="14.1" hidden="1" customHeight="1" x14ac:dyDescent="0.2"/>
    <row r="525" ht="14.1" hidden="1" customHeight="1" x14ac:dyDescent="0.2"/>
    <row r="526" ht="14.1" hidden="1" customHeight="1" x14ac:dyDescent="0.2"/>
    <row r="527" ht="14.1" hidden="1" customHeight="1" x14ac:dyDescent="0.2"/>
    <row r="528" ht="14.1" hidden="1" customHeight="1" x14ac:dyDescent="0.2"/>
    <row r="529" ht="14.1" hidden="1" customHeight="1" x14ac:dyDescent="0.2"/>
    <row r="530" ht="14.1" hidden="1" customHeight="1" x14ac:dyDescent="0.2"/>
    <row r="531" ht="14.1" hidden="1" customHeight="1" x14ac:dyDescent="0.2"/>
    <row r="532" ht="14.1" hidden="1" customHeight="1" x14ac:dyDescent="0.2"/>
    <row r="533" ht="14.1" hidden="1" customHeight="1" x14ac:dyDescent="0.2"/>
    <row r="534" ht="14.1" hidden="1" customHeight="1" x14ac:dyDescent="0.2"/>
    <row r="535" ht="14.1" hidden="1" customHeight="1" x14ac:dyDescent="0.2"/>
    <row r="536" ht="14.1" hidden="1" customHeight="1" x14ac:dyDescent="0.2"/>
    <row r="537" ht="14.1" hidden="1" customHeight="1" x14ac:dyDescent="0.2"/>
    <row r="538" ht="14.1" hidden="1" customHeight="1" x14ac:dyDescent="0.2"/>
    <row r="539" ht="14.1" hidden="1" customHeight="1" x14ac:dyDescent="0.2"/>
    <row r="540" ht="14.1" hidden="1" customHeight="1" x14ac:dyDescent="0.2"/>
    <row r="541" ht="14.1" hidden="1" customHeight="1" x14ac:dyDescent="0.2"/>
    <row r="542" ht="14.1" hidden="1" customHeight="1" x14ac:dyDescent="0.2"/>
    <row r="543" ht="14.1" hidden="1" customHeight="1" x14ac:dyDescent="0.2"/>
    <row r="544" ht="14.1" hidden="1" customHeight="1" x14ac:dyDescent="0.2"/>
    <row r="545" ht="14.1" hidden="1" customHeight="1" x14ac:dyDescent="0.2"/>
    <row r="546" ht="14.1" hidden="1" customHeight="1" x14ac:dyDescent="0.2"/>
    <row r="547" ht="14.1" hidden="1" customHeight="1" x14ac:dyDescent="0.2"/>
    <row r="548" ht="14.1" hidden="1" customHeight="1" x14ac:dyDescent="0.2"/>
    <row r="549" ht="14.1" hidden="1" customHeight="1" x14ac:dyDescent="0.2"/>
    <row r="550" ht="14.1" hidden="1" customHeight="1" x14ac:dyDescent="0.2"/>
    <row r="551" ht="14.1" hidden="1" customHeight="1" x14ac:dyDescent="0.2"/>
    <row r="552" ht="14.1" hidden="1" customHeight="1" x14ac:dyDescent="0.2"/>
    <row r="553" ht="14.1" hidden="1" customHeight="1" x14ac:dyDescent="0.2"/>
    <row r="554" ht="14.1" hidden="1" customHeight="1" x14ac:dyDescent="0.2"/>
    <row r="555" ht="14.1" hidden="1" customHeight="1" x14ac:dyDescent="0.2"/>
    <row r="556" ht="14.1" hidden="1" customHeight="1" x14ac:dyDescent="0.2"/>
    <row r="557" ht="14.1" hidden="1" customHeight="1" x14ac:dyDescent="0.2"/>
    <row r="558" ht="14.1" hidden="1" customHeight="1" x14ac:dyDescent="0.2"/>
    <row r="559" ht="14.1" hidden="1" customHeight="1" x14ac:dyDescent="0.2"/>
    <row r="560" ht="14.1" hidden="1" customHeight="1" x14ac:dyDescent="0.2"/>
    <row r="561" ht="14.1" hidden="1" customHeight="1" x14ac:dyDescent="0.2"/>
    <row r="562" ht="14.1" hidden="1" customHeight="1" x14ac:dyDescent="0.2"/>
    <row r="563" ht="14.1" hidden="1" customHeight="1" x14ac:dyDescent="0.2"/>
    <row r="564" ht="14.1" hidden="1" customHeight="1" x14ac:dyDescent="0.2"/>
    <row r="565" ht="14.1" hidden="1" customHeight="1" x14ac:dyDescent="0.2"/>
    <row r="566" ht="14.1" hidden="1" customHeight="1" x14ac:dyDescent="0.2"/>
    <row r="567" ht="14.1" hidden="1" customHeight="1" x14ac:dyDescent="0.2"/>
    <row r="568" ht="14.1" hidden="1" customHeight="1" x14ac:dyDescent="0.2"/>
    <row r="569" ht="14.1" hidden="1" customHeight="1" x14ac:dyDescent="0.2"/>
    <row r="570" ht="14.1" hidden="1" customHeight="1" x14ac:dyDescent="0.2"/>
    <row r="571" ht="14.1" hidden="1" customHeight="1" x14ac:dyDescent="0.2"/>
    <row r="572" ht="14.1" hidden="1" customHeight="1" x14ac:dyDescent="0.2"/>
    <row r="573" ht="14.1" hidden="1" customHeight="1" x14ac:dyDescent="0.2"/>
    <row r="574" ht="14.1" hidden="1" customHeight="1" x14ac:dyDescent="0.2"/>
    <row r="575" ht="14.1" hidden="1" customHeight="1" x14ac:dyDescent="0.2"/>
    <row r="576" ht="14.1" hidden="1" customHeight="1" x14ac:dyDescent="0.2"/>
    <row r="577" ht="14.1" hidden="1" customHeight="1" x14ac:dyDescent="0.2"/>
    <row r="578" ht="14.1" hidden="1" customHeight="1" x14ac:dyDescent="0.2"/>
    <row r="579" ht="14.1" hidden="1" customHeight="1" x14ac:dyDescent="0.2"/>
    <row r="580" ht="14.1" hidden="1" customHeight="1" x14ac:dyDescent="0.2"/>
    <row r="581" ht="14.1" hidden="1" customHeight="1" x14ac:dyDescent="0.2"/>
    <row r="582" ht="14.1" hidden="1" customHeight="1" x14ac:dyDescent="0.2"/>
    <row r="583" ht="14.1" hidden="1" customHeight="1" x14ac:dyDescent="0.2"/>
    <row r="584" ht="14.1" hidden="1" customHeight="1" x14ac:dyDescent="0.2"/>
    <row r="585" ht="14.1" hidden="1" customHeight="1" x14ac:dyDescent="0.2"/>
    <row r="586" ht="14.1" hidden="1" customHeight="1" x14ac:dyDescent="0.2"/>
    <row r="587" ht="14.1" hidden="1" customHeight="1" x14ac:dyDescent="0.2"/>
    <row r="588" ht="14.1" hidden="1" customHeight="1" x14ac:dyDescent="0.2"/>
    <row r="589" ht="14.1" hidden="1" customHeight="1" x14ac:dyDescent="0.2"/>
    <row r="590" ht="14.1" hidden="1" customHeight="1" x14ac:dyDescent="0.2"/>
    <row r="591" ht="14.1" hidden="1" customHeight="1" x14ac:dyDescent="0.2"/>
    <row r="592" ht="14.1" hidden="1" customHeight="1" x14ac:dyDescent="0.2"/>
    <row r="593" ht="14.1" hidden="1" customHeight="1" x14ac:dyDescent="0.2"/>
    <row r="594" ht="14.1" hidden="1" customHeight="1" x14ac:dyDescent="0.2"/>
    <row r="595" ht="14.1" hidden="1" customHeight="1" x14ac:dyDescent="0.2"/>
    <row r="596" ht="14.1" hidden="1" customHeight="1" x14ac:dyDescent="0.2"/>
    <row r="597" ht="14.1" hidden="1" customHeight="1" x14ac:dyDescent="0.2"/>
    <row r="598" ht="14.1" hidden="1" customHeight="1" x14ac:dyDescent="0.2"/>
    <row r="599" ht="14.1" hidden="1" customHeight="1" x14ac:dyDescent="0.2"/>
    <row r="600" ht="14.1" hidden="1" customHeight="1" x14ac:dyDescent="0.2"/>
    <row r="601" ht="14.1" hidden="1" customHeight="1" x14ac:dyDescent="0.2"/>
    <row r="602" ht="14.1" hidden="1" customHeight="1" x14ac:dyDescent="0.2"/>
    <row r="603" ht="14.1" hidden="1" customHeight="1" x14ac:dyDescent="0.2"/>
    <row r="604" ht="14.1" hidden="1" customHeight="1" x14ac:dyDescent="0.2"/>
    <row r="605" ht="14.1" hidden="1" customHeight="1" x14ac:dyDescent="0.2"/>
    <row r="606" ht="14.1" hidden="1" customHeight="1" x14ac:dyDescent="0.2"/>
    <row r="607" ht="14.1" hidden="1" customHeight="1" x14ac:dyDescent="0.2"/>
    <row r="608" ht="14.1" hidden="1" customHeight="1" x14ac:dyDescent="0.2"/>
    <row r="609" ht="14.1" hidden="1" customHeight="1" x14ac:dyDescent="0.2"/>
    <row r="610" ht="14.1" hidden="1" customHeight="1" x14ac:dyDescent="0.2"/>
    <row r="611" ht="14.1" hidden="1" customHeight="1" x14ac:dyDescent="0.2"/>
    <row r="612" ht="14.1" hidden="1" customHeight="1" x14ac:dyDescent="0.2"/>
    <row r="613" ht="14.1" hidden="1" customHeight="1" x14ac:dyDescent="0.2"/>
    <row r="614" ht="14.1" hidden="1" customHeight="1" x14ac:dyDescent="0.2"/>
    <row r="615" ht="14.1" hidden="1" customHeight="1" x14ac:dyDescent="0.2"/>
    <row r="616" ht="14.1" hidden="1" customHeight="1" x14ac:dyDescent="0.2"/>
    <row r="617" ht="14.1" hidden="1" customHeight="1" x14ac:dyDescent="0.2"/>
    <row r="618" ht="14.1" hidden="1" customHeight="1" x14ac:dyDescent="0.2"/>
    <row r="619" ht="14.1" hidden="1" customHeight="1" x14ac:dyDescent="0.2"/>
    <row r="620" ht="14.1" hidden="1" customHeight="1" x14ac:dyDescent="0.2"/>
    <row r="621" ht="14.1" hidden="1" customHeight="1" x14ac:dyDescent="0.2"/>
    <row r="622" ht="14.1" hidden="1" customHeight="1" x14ac:dyDescent="0.2"/>
    <row r="623" ht="14.1" hidden="1" customHeight="1" x14ac:dyDescent="0.2"/>
    <row r="624" ht="14.1" hidden="1" customHeight="1" x14ac:dyDescent="0.2"/>
    <row r="625" ht="14.1" hidden="1" customHeight="1" x14ac:dyDescent="0.2"/>
    <row r="626" ht="14.1" hidden="1" customHeight="1" x14ac:dyDescent="0.2"/>
    <row r="627" ht="14.1" hidden="1" customHeight="1" x14ac:dyDescent="0.2"/>
    <row r="628" ht="14.1" hidden="1" customHeight="1" x14ac:dyDescent="0.2"/>
    <row r="629" ht="14.1" hidden="1" customHeight="1" x14ac:dyDescent="0.2"/>
    <row r="630" ht="14.1" hidden="1" customHeight="1" x14ac:dyDescent="0.2"/>
    <row r="631" ht="14.1" hidden="1" customHeight="1" x14ac:dyDescent="0.2"/>
    <row r="632" ht="14.1" hidden="1" customHeight="1" x14ac:dyDescent="0.2"/>
    <row r="633" ht="14.1" hidden="1" customHeight="1" x14ac:dyDescent="0.2"/>
    <row r="634" ht="14.1" hidden="1" customHeight="1" x14ac:dyDescent="0.2"/>
    <row r="635" ht="14.1" hidden="1" customHeight="1" x14ac:dyDescent="0.2"/>
    <row r="636" ht="14.1" hidden="1" customHeight="1" x14ac:dyDescent="0.2"/>
    <row r="637" ht="14.1" hidden="1" customHeight="1" x14ac:dyDescent="0.2"/>
    <row r="638" ht="14.1" hidden="1" customHeight="1" x14ac:dyDescent="0.2"/>
    <row r="639" ht="14.1" hidden="1" customHeight="1" x14ac:dyDescent="0.2"/>
    <row r="640" ht="14.1" hidden="1" customHeight="1" x14ac:dyDescent="0.2"/>
    <row r="641" ht="14.1" hidden="1" customHeight="1" x14ac:dyDescent="0.2"/>
    <row r="642" ht="14.1" hidden="1" customHeight="1" x14ac:dyDescent="0.2"/>
    <row r="643" ht="14.1" hidden="1" customHeight="1" x14ac:dyDescent="0.2"/>
    <row r="644" ht="14.1" hidden="1" customHeight="1" x14ac:dyDescent="0.2"/>
    <row r="645" ht="14.1" hidden="1" customHeight="1" x14ac:dyDescent="0.2"/>
    <row r="646" ht="14.1" hidden="1" customHeight="1" x14ac:dyDescent="0.2"/>
    <row r="647" ht="14.1" hidden="1" customHeight="1" x14ac:dyDescent="0.2"/>
    <row r="648" ht="14.1" hidden="1" customHeight="1" x14ac:dyDescent="0.2"/>
    <row r="649" ht="14.1" hidden="1" customHeight="1" x14ac:dyDescent="0.2"/>
    <row r="650" ht="14.1" hidden="1" customHeight="1" x14ac:dyDescent="0.2"/>
    <row r="651" ht="14.1" hidden="1" customHeight="1" x14ac:dyDescent="0.2"/>
    <row r="652" ht="14.1" hidden="1" customHeight="1" x14ac:dyDescent="0.2"/>
    <row r="653" ht="14.1" hidden="1" customHeight="1" x14ac:dyDescent="0.2"/>
    <row r="654" ht="14.1" hidden="1" customHeight="1" x14ac:dyDescent="0.2"/>
    <row r="655" ht="14.1" hidden="1" customHeight="1" x14ac:dyDescent="0.2"/>
    <row r="656" ht="14.1" hidden="1" customHeight="1" x14ac:dyDescent="0.2"/>
    <row r="657" ht="14.1" hidden="1" customHeight="1" x14ac:dyDescent="0.2"/>
    <row r="658" ht="14.1" hidden="1" customHeight="1" x14ac:dyDescent="0.2"/>
    <row r="659" ht="14.1" hidden="1" customHeight="1" x14ac:dyDescent="0.2"/>
    <row r="660" ht="14.1" hidden="1" customHeight="1" x14ac:dyDescent="0.2"/>
    <row r="661" ht="14.1" hidden="1" customHeight="1" x14ac:dyDescent="0.2"/>
    <row r="662" ht="14.1" hidden="1" customHeight="1" x14ac:dyDescent="0.2"/>
    <row r="663" ht="14.1" hidden="1" customHeight="1" x14ac:dyDescent="0.2"/>
    <row r="664" ht="14.1" hidden="1" customHeight="1" x14ac:dyDescent="0.2"/>
    <row r="665" ht="14.1" hidden="1" customHeight="1" x14ac:dyDescent="0.2"/>
    <row r="666" ht="14.1" hidden="1" customHeight="1" x14ac:dyDescent="0.2"/>
    <row r="667" ht="14.1" hidden="1" customHeight="1" x14ac:dyDescent="0.2"/>
    <row r="668" ht="14.1" hidden="1" customHeight="1" x14ac:dyDescent="0.2"/>
    <row r="669" ht="14.1" hidden="1" customHeight="1" x14ac:dyDescent="0.2"/>
    <row r="670" ht="14.1" hidden="1" customHeight="1" x14ac:dyDescent="0.2"/>
    <row r="671" ht="14.1" hidden="1" customHeight="1" x14ac:dyDescent="0.2"/>
    <row r="672" ht="14.1" hidden="1" customHeight="1" x14ac:dyDescent="0.2"/>
    <row r="673" ht="14.1" hidden="1" customHeight="1" x14ac:dyDescent="0.2"/>
    <row r="674" ht="14.1" hidden="1" customHeight="1" x14ac:dyDescent="0.2"/>
    <row r="675" ht="14.1" hidden="1" customHeight="1" x14ac:dyDescent="0.2"/>
    <row r="676" ht="14.1" hidden="1" customHeight="1" x14ac:dyDescent="0.2"/>
    <row r="677" ht="14.1" hidden="1" customHeight="1" x14ac:dyDescent="0.2"/>
    <row r="678" ht="14.1" hidden="1" customHeight="1" x14ac:dyDescent="0.2"/>
    <row r="679" ht="14.1" hidden="1" customHeight="1" x14ac:dyDescent="0.2"/>
    <row r="680" ht="14.1" hidden="1" customHeight="1" x14ac:dyDescent="0.2"/>
    <row r="681" ht="14.1" hidden="1" customHeight="1" x14ac:dyDescent="0.2"/>
    <row r="682" ht="14.1" hidden="1" customHeight="1" x14ac:dyDescent="0.2"/>
    <row r="683" ht="14.1" hidden="1" customHeight="1" x14ac:dyDescent="0.2"/>
    <row r="684" ht="14.1" hidden="1" customHeight="1" x14ac:dyDescent="0.2"/>
    <row r="685" ht="14.1" hidden="1" customHeight="1" x14ac:dyDescent="0.2"/>
    <row r="686" ht="14.1" hidden="1" customHeight="1" x14ac:dyDescent="0.2"/>
    <row r="687" ht="14.1" hidden="1" customHeight="1" x14ac:dyDescent="0.2"/>
    <row r="688" ht="14.1" hidden="1" customHeight="1" x14ac:dyDescent="0.2"/>
    <row r="689" ht="14.1" hidden="1" customHeight="1" x14ac:dyDescent="0.2"/>
    <row r="690" ht="14.1" hidden="1" customHeight="1" x14ac:dyDescent="0.2"/>
    <row r="691" ht="14.1" hidden="1" customHeight="1" x14ac:dyDescent="0.2"/>
    <row r="692" ht="14.1" hidden="1" customHeight="1" x14ac:dyDescent="0.2"/>
    <row r="693" ht="14.1" hidden="1" customHeight="1" x14ac:dyDescent="0.2"/>
    <row r="694" ht="14.1" hidden="1" customHeight="1" x14ac:dyDescent="0.2"/>
    <row r="695" ht="14.1" hidden="1" customHeight="1" x14ac:dyDescent="0.2"/>
    <row r="696" ht="14.1" hidden="1" customHeight="1" x14ac:dyDescent="0.2"/>
    <row r="697" ht="14.1" hidden="1" customHeight="1" x14ac:dyDescent="0.2"/>
    <row r="698" ht="14.1" hidden="1" customHeight="1" x14ac:dyDescent="0.2"/>
    <row r="699" ht="14.1" hidden="1" customHeight="1" x14ac:dyDescent="0.2"/>
    <row r="700" ht="14.1" hidden="1" customHeight="1" x14ac:dyDescent="0.2"/>
    <row r="701" ht="14.1" hidden="1" customHeight="1" x14ac:dyDescent="0.2"/>
    <row r="702" ht="14.1" hidden="1" customHeight="1" x14ac:dyDescent="0.2"/>
    <row r="703" ht="14.1" hidden="1" customHeight="1" x14ac:dyDescent="0.2"/>
    <row r="704" ht="14.1" hidden="1" customHeight="1" x14ac:dyDescent="0.2"/>
    <row r="705" ht="14.1" hidden="1" customHeight="1" x14ac:dyDescent="0.2"/>
    <row r="706" ht="14.1" hidden="1" customHeight="1" x14ac:dyDescent="0.2"/>
    <row r="707" ht="14.1" hidden="1" customHeight="1" x14ac:dyDescent="0.2"/>
    <row r="708" ht="14.1" hidden="1" customHeight="1" x14ac:dyDescent="0.2"/>
    <row r="709" ht="14.1" hidden="1" customHeight="1" x14ac:dyDescent="0.2"/>
    <row r="710" ht="14.1" hidden="1" customHeight="1" x14ac:dyDescent="0.2"/>
    <row r="711" ht="14.1" hidden="1" customHeight="1" x14ac:dyDescent="0.2"/>
    <row r="712" ht="14.1" hidden="1" customHeight="1" x14ac:dyDescent="0.2"/>
    <row r="713" ht="14.1" hidden="1" customHeight="1" x14ac:dyDescent="0.2"/>
    <row r="714" ht="14.1" hidden="1" customHeight="1" x14ac:dyDescent="0.2"/>
    <row r="715" ht="14.1" hidden="1" customHeight="1" x14ac:dyDescent="0.2"/>
    <row r="716" ht="14.1" hidden="1" customHeight="1" x14ac:dyDescent="0.2"/>
    <row r="717" ht="14.1" hidden="1" customHeight="1" x14ac:dyDescent="0.2"/>
    <row r="718" ht="14.1" hidden="1" customHeight="1" x14ac:dyDescent="0.2"/>
    <row r="719" ht="14.1" hidden="1" customHeight="1" x14ac:dyDescent="0.2"/>
    <row r="720" ht="14.1" hidden="1" customHeight="1" x14ac:dyDescent="0.2"/>
    <row r="721" ht="14.1" hidden="1" customHeight="1" x14ac:dyDescent="0.2"/>
    <row r="722" ht="14.1" hidden="1" customHeight="1" x14ac:dyDescent="0.2"/>
    <row r="723" ht="14.1" hidden="1" customHeight="1" x14ac:dyDescent="0.2"/>
    <row r="724" ht="14.1" hidden="1" customHeight="1" x14ac:dyDescent="0.2"/>
    <row r="725" ht="14.1" hidden="1" customHeight="1" x14ac:dyDescent="0.2"/>
    <row r="726" ht="14.1" hidden="1" customHeight="1" x14ac:dyDescent="0.2"/>
    <row r="727" ht="14.1" hidden="1" customHeight="1" x14ac:dyDescent="0.2"/>
    <row r="728" ht="14.1" hidden="1" customHeight="1" x14ac:dyDescent="0.2"/>
    <row r="729" ht="14.1" hidden="1" customHeight="1" x14ac:dyDescent="0.2"/>
    <row r="730" ht="14.1" hidden="1" customHeight="1" x14ac:dyDescent="0.2"/>
    <row r="731" ht="14.1" hidden="1" customHeight="1" x14ac:dyDescent="0.2"/>
    <row r="732" ht="14.1" hidden="1" customHeight="1" x14ac:dyDescent="0.2"/>
    <row r="733" ht="14.1" hidden="1" customHeight="1" x14ac:dyDescent="0.2"/>
    <row r="734" ht="14.1" hidden="1" customHeight="1" x14ac:dyDescent="0.2"/>
    <row r="735" ht="14.1" hidden="1" customHeight="1" x14ac:dyDescent="0.2"/>
    <row r="736" ht="14.1" hidden="1" customHeight="1" x14ac:dyDescent="0.2"/>
    <row r="737" ht="14.1" hidden="1" customHeight="1" x14ac:dyDescent="0.2"/>
    <row r="738" ht="14.1" hidden="1" customHeight="1" x14ac:dyDescent="0.2"/>
    <row r="739" ht="14.1" hidden="1" customHeight="1" x14ac:dyDescent="0.2"/>
    <row r="740" ht="14.1" hidden="1" customHeight="1" x14ac:dyDescent="0.2"/>
    <row r="741" ht="14.1" hidden="1" customHeight="1" x14ac:dyDescent="0.2"/>
    <row r="742" ht="14.1" hidden="1" customHeight="1" x14ac:dyDescent="0.2"/>
    <row r="743" ht="14.1" hidden="1" customHeight="1" x14ac:dyDescent="0.2"/>
    <row r="744" ht="14.1" hidden="1" customHeight="1" x14ac:dyDescent="0.2"/>
    <row r="745" ht="14.1" hidden="1" customHeight="1" x14ac:dyDescent="0.2"/>
    <row r="746" ht="14.1" hidden="1" customHeight="1" x14ac:dyDescent="0.2"/>
    <row r="747" ht="14.1" hidden="1" customHeight="1" x14ac:dyDescent="0.2"/>
    <row r="748" ht="14.1" hidden="1" customHeight="1" x14ac:dyDescent="0.2"/>
    <row r="749" ht="14.1" hidden="1" customHeight="1" x14ac:dyDescent="0.2"/>
    <row r="750" ht="14.1" hidden="1" customHeight="1" x14ac:dyDescent="0.2"/>
    <row r="751" ht="14.1" hidden="1" customHeight="1" x14ac:dyDescent="0.2"/>
    <row r="752" ht="14.1" hidden="1" customHeight="1" x14ac:dyDescent="0.2"/>
    <row r="753" ht="14.1" hidden="1" customHeight="1" x14ac:dyDescent="0.2"/>
    <row r="754" ht="14.1" hidden="1" customHeight="1" x14ac:dyDescent="0.2"/>
    <row r="755" ht="14.1" hidden="1" customHeight="1" x14ac:dyDescent="0.2"/>
    <row r="756" ht="14.1" hidden="1" customHeight="1" x14ac:dyDescent="0.2"/>
    <row r="757" ht="14.1" hidden="1" customHeight="1" x14ac:dyDescent="0.2"/>
    <row r="758" ht="14.1" hidden="1" customHeight="1" x14ac:dyDescent="0.2"/>
    <row r="759" ht="14.1" hidden="1" customHeight="1" x14ac:dyDescent="0.2"/>
    <row r="760" ht="14.1" hidden="1" customHeight="1" x14ac:dyDescent="0.2"/>
    <row r="761" ht="14.1" hidden="1" customHeight="1" x14ac:dyDescent="0.2"/>
    <row r="762" ht="14.1" hidden="1" customHeight="1" x14ac:dyDescent="0.2"/>
    <row r="763" ht="14.1" hidden="1" customHeight="1" x14ac:dyDescent="0.2"/>
    <row r="764" ht="14.1" hidden="1" customHeight="1" x14ac:dyDescent="0.2"/>
    <row r="765" ht="14.1" hidden="1" customHeight="1" x14ac:dyDescent="0.2"/>
    <row r="766" ht="14.1" hidden="1" customHeight="1" x14ac:dyDescent="0.2"/>
    <row r="767" ht="14.1" hidden="1" customHeight="1" x14ac:dyDescent="0.2"/>
    <row r="768" ht="14.1" hidden="1" customHeight="1" x14ac:dyDescent="0.2"/>
    <row r="769" ht="14.1" hidden="1" customHeight="1" x14ac:dyDescent="0.2"/>
    <row r="770" ht="14.1" hidden="1" customHeight="1" x14ac:dyDescent="0.2"/>
    <row r="771" ht="14.1" hidden="1" customHeight="1" x14ac:dyDescent="0.2"/>
    <row r="772" ht="14.1" hidden="1" customHeight="1" x14ac:dyDescent="0.2"/>
    <row r="773" ht="14.1" hidden="1" customHeight="1" x14ac:dyDescent="0.2"/>
    <row r="774" ht="14.1" hidden="1" customHeight="1" x14ac:dyDescent="0.2"/>
    <row r="775" ht="14.1" hidden="1" customHeight="1" x14ac:dyDescent="0.2"/>
    <row r="776" ht="14.1" hidden="1" customHeight="1" x14ac:dyDescent="0.2"/>
    <row r="777" ht="14.1" hidden="1" customHeight="1" x14ac:dyDescent="0.2"/>
    <row r="778" ht="14.1" hidden="1" customHeight="1" x14ac:dyDescent="0.2"/>
    <row r="779" ht="14.1" hidden="1" customHeight="1" x14ac:dyDescent="0.2"/>
    <row r="780" ht="14.1" hidden="1" customHeight="1" x14ac:dyDescent="0.2"/>
    <row r="781" ht="14.1" hidden="1" customHeight="1" x14ac:dyDescent="0.2"/>
    <row r="782" ht="14.1" hidden="1" customHeight="1" x14ac:dyDescent="0.2"/>
    <row r="783" ht="14.1" hidden="1" customHeight="1" x14ac:dyDescent="0.2"/>
    <row r="784" ht="14.1" hidden="1" customHeight="1" x14ac:dyDescent="0.2"/>
    <row r="785" ht="14.1" hidden="1" customHeight="1" x14ac:dyDescent="0.2"/>
    <row r="786" ht="14.1" hidden="1" customHeight="1" x14ac:dyDescent="0.2"/>
    <row r="787" ht="14.1" hidden="1" customHeight="1" x14ac:dyDescent="0.2"/>
    <row r="788" ht="14.1" hidden="1" customHeight="1" x14ac:dyDescent="0.2"/>
    <row r="789" ht="14.1" hidden="1" customHeight="1" x14ac:dyDescent="0.2"/>
    <row r="790" ht="14.1" hidden="1" customHeight="1" x14ac:dyDescent="0.2"/>
    <row r="791" ht="14.1" hidden="1" customHeight="1" x14ac:dyDescent="0.2"/>
    <row r="792" ht="14.1" hidden="1" customHeight="1" x14ac:dyDescent="0.2"/>
    <row r="793" ht="14.1" hidden="1" customHeight="1" x14ac:dyDescent="0.2"/>
    <row r="794" ht="14.1" hidden="1" customHeight="1" x14ac:dyDescent="0.2"/>
    <row r="795" ht="14.1" hidden="1" customHeight="1" x14ac:dyDescent="0.2"/>
    <row r="796" ht="14.1" hidden="1" customHeight="1" x14ac:dyDescent="0.2"/>
    <row r="797" ht="14.1" hidden="1" customHeight="1" x14ac:dyDescent="0.2"/>
    <row r="798" ht="14.1" hidden="1" customHeight="1" x14ac:dyDescent="0.2"/>
    <row r="799" ht="14.1" hidden="1" customHeight="1" x14ac:dyDescent="0.2"/>
    <row r="800" ht="14.1" hidden="1" customHeight="1" x14ac:dyDescent="0.2"/>
    <row r="801" ht="14.1" hidden="1" customHeight="1" x14ac:dyDescent="0.2"/>
    <row r="802" ht="14.1" hidden="1" customHeight="1" x14ac:dyDescent="0.2"/>
    <row r="803" ht="14.1" hidden="1" customHeight="1" x14ac:dyDescent="0.2"/>
    <row r="804" ht="14.1" hidden="1" customHeight="1" x14ac:dyDescent="0.2"/>
    <row r="805" ht="14.1" hidden="1" customHeight="1" x14ac:dyDescent="0.2"/>
    <row r="806" ht="14.1" hidden="1" customHeight="1" x14ac:dyDescent="0.2"/>
    <row r="807" ht="14.1" hidden="1" customHeight="1" x14ac:dyDescent="0.2"/>
    <row r="808" ht="14.1" hidden="1" customHeight="1" x14ac:dyDescent="0.2"/>
    <row r="809" ht="14.1" hidden="1" customHeight="1" x14ac:dyDescent="0.2"/>
    <row r="810" ht="14.1" hidden="1" customHeight="1" x14ac:dyDescent="0.2"/>
    <row r="811" ht="14.1" hidden="1" customHeight="1" x14ac:dyDescent="0.2"/>
    <row r="812" ht="14.1" hidden="1" customHeight="1" x14ac:dyDescent="0.2"/>
    <row r="813" ht="14.1" hidden="1" customHeight="1" x14ac:dyDescent="0.2"/>
    <row r="814" ht="14.1" hidden="1" customHeight="1" x14ac:dyDescent="0.2"/>
    <row r="815" ht="14.1" hidden="1" customHeight="1" x14ac:dyDescent="0.2"/>
    <row r="816" ht="14.1" hidden="1" customHeight="1" x14ac:dyDescent="0.2"/>
    <row r="817" ht="14.1" hidden="1" customHeight="1" x14ac:dyDescent="0.2"/>
    <row r="818" ht="14.1" hidden="1" customHeight="1" x14ac:dyDescent="0.2"/>
    <row r="819" ht="14.1" hidden="1" customHeight="1" x14ac:dyDescent="0.2"/>
    <row r="820" ht="14.1" hidden="1" customHeight="1" x14ac:dyDescent="0.2"/>
    <row r="821" ht="14.1" hidden="1" customHeight="1" x14ac:dyDescent="0.2"/>
    <row r="822" ht="14.1" hidden="1" customHeight="1" x14ac:dyDescent="0.2"/>
    <row r="823" ht="14.1" hidden="1" customHeight="1" x14ac:dyDescent="0.2"/>
    <row r="824" ht="14.1" hidden="1" customHeight="1" x14ac:dyDescent="0.2"/>
    <row r="825" ht="14.1" hidden="1" customHeight="1" x14ac:dyDescent="0.2"/>
    <row r="826" ht="14.1" hidden="1" customHeight="1" x14ac:dyDescent="0.2"/>
    <row r="827" ht="14.1" hidden="1" customHeight="1" x14ac:dyDescent="0.2"/>
    <row r="828" ht="14.1" hidden="1" customHeight="1" x14ac:dyDescent="0.2"/>
    <row r="829" ht="14.1" hidden="1" customHeight="1" x14ac:dyDescent="0.2"/>
    <row r="830" ht="14.1" hidden="1" customHeight="1" x14ac:dyDescent="0.2"/>
    <row r="831" ht="14.1" hidden="1" customHeight="1" x14ac:dyDescent="0.2"/>
    <row r="832" ht="14.1" hidden="1" customHeight="1" x14ac:dyDescent="0.2"/>
    <row r="833" ht="14.1" hidden="1" customHeight="1" x14ac:dyDescent="0.2"/>
    <row r="834" ht="14.1" hidden="1" customHeight="1" x14ac:dyDescent="0.2"/>
    <row r="835" ht="14.1" hidden="1" customHeight="1" x14ac:dyDescent="0.2"/>
    <row r="836" ht="14.1" hidden="1" customHeight="1" x14ac:dyDescent="0.2"/>
    <row r="837" ht="14.1" hidden="1" customHeight="1" x14ac:dyDescent="0.2"/>
    <row r="838" ht="14.1" hidden="1" customHeight="1" x14ac:dyDescent="0.2"/>
    <row r="839" ht="14.1" hidden="1" customHeight="1" x14ac:dyDescent="0.2"/>
    <row r="840" ht="14.1" hidden="1" customHeight="1" x14ac:dyDescent="0.2"/>
    <row r="841" ht="14.1" hidden="1" customHeight="1" x14ac:dyDescent="0.2"/>
    <row r="842" ht="14.1" hidden="1" customHeight="1" x14ac:dyDescent="0.2"/>
    <row r="843" ht="14.1" hidden="1" customHeight="1" x14ac:dyDescent="0.2"/>
    <row r="844" ht="14.1" hidden="1" customHeight="1" x14ac:dyDescent="0.2"/>
    <row r="845" ht="14.1" hidden="1" customHeight="1" x14ac:dyDescent="0.2"/>
    <row r="846" ht="14.1" hidden="1" customHeight="1" x14ac:dyDescent="0.2"/>
    <row r="847" ht="14.1" hidden="1" customHeight="1" x14ac:dyDescent="0.2"/>
    <row r="848" ht="14.1" hidden="1" customHeight="1" x14ac:dyDescent="0.2"/>
    <row r="849" ht="14.1" hidden="1" customHeight="1" x14ac:dyDescent="0.2"/>
    <row r="850" ht="14.1" hidden="1" customHeight="1" x14ac:dyDescent="0.2"/>
    <row r="851" ht="14.1" hidden="1" customHeight="1" x14ac:dyDescent="0.2"/>
    <row r="852" ht="14.1" hidden="1" customHeight="1" x14ac:dyDescent="0.2"/>
    <row r="853" ht="14.1" hidden="1" customHeight="1" x14ac:dyDescent="0.2"/>
    <row r="854" ht="14.1" hidden="1" customHeight="1" x14ac:dyDescent="0.2"/>
    <row r="855" ht="14.1" hidden="1" customHeight="1" x14ac:dyDescent="0.2"/>
    <row r="856" ht="14.1" hidden="1" customHeight="1" x14ac:dyDescent="0.2"/>
    <row r="857" ht="14.1" hidden="1" customHeight="1" x14ac:dyDescent="0.2"/>
    <row r="858" ht="14.1" hidden="1" customHeight="1" x14ac:dyDescent="0.2"/>
    <row r="859" ht="14.1" hidden="1" customHeight="1" x14ac:dyDescent="0.2"/>
    <row r="860" ht="14.1" hidden="1" customHeight="1" x14ac:dyDescent="0.2"/>
    <row r="861" ht="14.1" hidden="1" customHeight="1" x14ac:dyDescent="0.2"/>
    <row r="862" ht="14.1" hidden="1" customHeight="1" x14ac:dyDescent="0.2"/>
    <row r="863" ht="14.1" hidden="1" customHeight="1" x14ac:dyDescent="0.2"/>
    <row r="864" ht="14.1" hidden="1" customHeight="1" x14ac:dyDescent="0.2"/>
    <row r="865" ht="14.1" hidden="1" customHeight="1" x14ac:dyDescent="0.2"/>
    <row r="866" ht="14.1" hidden="1" customHeight="1" x14ac:dyDescent="0.2"/>
    <row r="867" ht="14.1" hidden="1" customHeight="1" x14ac:dyDescent="0.2"/>
    <row r="868" ht="14.1" hidden="1" customHeight="1" x14ac:dyDescent="0.2"/>
    <row r="869" ht="14.1" hidden="1" customHeight="1" x14ac:dyDescent="0.2"/>
    <row r="870" ht="14.1" hidden="1" customHeight="1" x14ac:dyDescent="0.2"/>
    <row r="871" ht="14.1" hidden="1" customHeight="1" x14ac:dyDescent="0.2"/>
    <row r="872" ht="14.1" hidden="1" customHeight="1" x14ac:dyDescent="0.2"/>
    <row r="873" ht="14.1" hidden="1" customHeight="1" x14ac:dyDescent="0.2"/>
    <row r="874" ht="14.1" hidden="1" customHeight="1" x14ac:dyDescent="0.2"/>
    <row r="875" ht="14.1" hidden="1" customHeight="1" x14ac:dyDescent="0.2"/>
    <row r="876" ht="14.1" hidden="1" customHeight="1" x14ac:dyDescent="0.2"/>
    <row r="877" ht="14.1" hidden="1" customHeight="1" x14ac:dyDescent="0.2"/>
    <row r="878" ht="14.1" hidden="1" customHeight="1" x14ac:dyDescent="0.2"/>
    <row r="879" ht="14.1" hidden="1" customHeight="1" x14ac:dyDescent="0.2"/>
    <row r="880" ht="14.1" hidden="1" customHeight="1" x14ac:dyDescent="0.2"/>
    <row r="881" ht="14.1" hidden="1" customHeight="1" x14ac:dyDescent="0.2"/>
    <row r="882" ht="14.1" hidden="1" customHeight="1" x14ac:dyDescent="0.2"/>
    <row r="883" ht="14.1" hidden="1" customHeight="1" x14ac:dyDescent="0.2"/>
    <row r="884" ht="14.1" hidden="1" customHeight="1" x14ac:dyDescent="0.2"/>
    <row r="885" ht="14.1" hidden="1" customHeight="1" x14ac:dyDescent="0.2"/>
    <row r="886" ht="14.1" hidden="1" customHeight="1" x14ac:dyDescent="0.2"/>
    <row r="887" ht="14.1" hidden="1" customHeight="1" x14ac:dyDescent="0.2"/>
    <row r="888" ht="14.1" hidden="1" customHeight="1" x14ac:dyDescent="0.2"/>
    <row r="889" ht="14.1" hidden="1" customHeight="1" x14ac:dyDescent="0.2"/>
    <row r="890" ht="14.1" hidden="1" customHeight="1" x14ac:dyDescent="0.2"/>
    <row r="891" ht="14.1" hidden="1" customHeight="1" x14ac:dyDescent="0.2"/>
    <row r="892" ht="14.1" hidden="1" customHeight="1" x14ac:dyDescent="0.2"/>
    <row r="893" ht="14.1" hidden="1" customHeight="1" x14ac:dyDescent="0.2"/>
    <row r="894" ht="14.1" hidden="1" customHeight="1" x14ac:dyDescent="0.2"/>
    <row r="895" ht="14.1" hidden="1" customHeight="1" x14ac:dyDescent="0.2"/>
    <row r="896" ht="14.1" hidden="1" customHeight="1" x14ac:dyDescent="0.2"/>
    <row r="897" ht="14.1" hidden="1" customHeight="1" x14ac:dyDescent="0.2"/>
    <row r="898" ht="14.1" hidden="1" customHeight="1" x14ac:dyDescent="0.2"/>
    <row r="899" ht="14.1" hidden="1" customHeight="1" x14ac:dyDescent="0.2"/>
    <row r="900" ht="14.1" hidden="1" customHeight="1" x14ac:dyDescent="0.2"/>
    <row r="901" ht="14.1" hidden="1" customHeight="1" x14ac:dyDescent="0.2"/>
    <row r="902" ht="14.1" hidden="1" customHeight="1" x14ac:dyDescent="0.2"/>
    <row r="903" ht="14.1" hidden="1" customHeight="1" x14ac:dyDescent="0.2"/>
    <row r="904" ht="14.1" hidden="1" customHeight="1" x14ac:dyDescent="0.2"/>
    <row r="905" ht="14.1" hidden="1" customHeight="1" x14ac:dyDescent="0.2"/>
    <row r="906" ht="14.1" hidden="1" customHeight="1" x14ac:dyDescent="0.2"/>
    <row r="907" ht="14.1" hidden="1" customHeight="1" x14ac:dyDescent="0.2"/>
    <row r="908" ht="14.1" hidden="1" customHeight="1" x14ac:dyDescent="0.2"/>
    <row r="909" ht="14.1" hidden="1" customHeight="1" x14ac:dyDescent="0.2"/>
    <row r="910" ht="14.1" hidden="1" customHeight="1" x14ac:dyDescent="0.2"/>
    <row r="911" ht="14.1" hidden="1" customHeight="1" x14ac:dyDescent="0.2"/>
    <row r="912" ht="14.1" hidden="1" customHeight="1" x14ac:dyDescent="0.2"/>
    <row r="913" ht="14.1" hidden="1" customHeight="1" x14ac:dyDescent="0.2"/>
    <row r="914" ht="14.1" hidden="1" customHeight="1" x14ac:dyDescent="0.2"/>
    <row r="915" ht="14.1" hidden="1" customHeight="1" x14ac:dyDescent="0.2"/>
    <row r="916" ht="14.1" hidden="1" customHeight="1" x14ac:dyDescent="0.2"/>
    <row r="917" ht="14.1" hidden="1" customHeight="1" x14ac:dyDescent="0.2"/>
    <row r="918" ht="14.1" hidden="1" customHeight="1" x14ac:dyDescent="0.2"/>
    <row r="919" ht="14.1" hidden="1" customHeight="1" x14ac:dyDescent="0.2"/>
    <row r="920" ht="14.1" hidden="1" customHeight="1" x14ac:dyDescent="0.2"/>
    <row r="921" ht="14.1" hidden="1" customHeight="1" x14ac:dyDescent="0.2"/>
    <row r="922" ht="14.1" hidden="1" customHeight="1" x14ac:dyDescent="0.2"/>
    <row r="923" ht="14.1" hidden="1" customHeight="1" x14ac:dyDescent="0.2"/>
    <row r="924" ht="14.1" hidden="1" customHeight="1" x14ac:dyDescent="0.2"/>
    <row r="925" ht="14.1" hidden="1" customHeight="1" x14ac:dyDescent="0.2"/>
    <row r="926" ht="14.1" hidden="1" customHeight="1" x14ac:dyDescent="0.2"/>
    <row r="927" ht="14.1" hidden="1" customHeight="1" x14ac:dyDescent="0.2"/>
    <row r="928" ht="14.1" hidden="1" customHeight="1" x14ac:dyDescent="0.2"/>
    <row r="929" ht="14.1" hidden="1" customHeight="1" x14ac:dyDescent="0.2"/>
    <row r="930" ht="14.1" hidden="1" customHeight="1" x14ac:dyDescent="0.2"/>
    <row r="931" ht="14.1" hidden="1" customHeight="1" x14ac:dyDescent="0.2"/>
    <row r="932" ht="14.1" hidden="1" customHeight="1" x14ac:dyDescent="0.2"/>
    <row r="933" ht="14.1" hidden="1" customHeight="1" x14ac:dyDescent="0.2"/>
    <row r="934" ht="14.1" hidden="1" customHeight="1" x14ac:dyDescent="0.2"/>
    <row r="935" ht="14.1" hidden="1" customHeight="1" x14ac:dyDescent="0.2"/>
    <row r="936" ht="14.1" hidden="1" customHeight="1" x14ac:dyDescent="0.2"/>
    <row r="937" ht="14.1" hidden="1" customHeight="1" x14ac:dyDescent="0.2"/>
    <row r="938" ht="14.1" hidden="1" customHeight="1" x14ac:dyDescent="0.2"/>
    <row r="939" ht="14.1" hidden="1" customHeight="1" x14ac:dyDescent="0.2"/>
    <row r="940" ht="14.1" hidden="1" customHeight="1" x14ac:dyDescent="0.2"/>
    <row r="941" ht="14.1" hidden="1" customHeight="1" x14ac:dyDescent="0.2"/>
    <row r="942" ht="14.1" hidden="1" customHeight="1" x14ac:dyDescent="0.2"/>
    <row r="943" ht="14.1" hidden="1" customHeight="1" x14ac:dyDescent="0.2"/>
    <row r="944" ht="14.1" hidden="1" customHeight="1" x14ac:dyDescent="0.2"/>
    <row r="945" ht="14.1" hidden="1" customHeight="1" x14ac:dyDescent="0.2"/>
    <row r="946" ht="14.1" hidden="1" customHeight="1" x14ac:dyDescent="0.2"/>
    <row r="947" ht="14.1" hidden="1" customHeight="1" x14ac:dyDescent="0.2"/>
    <row r="948" ht="14.1" hidden="1" customHeight="1" x14ac:dyDescent="0.2"/>
    <row r="949" ht="14.1" hidden="1" customHeight="1" x14ac:dyDescent="0.2"/>
    <row r="950" ht="14.1" hidden="1" customHeight="1" x14ac:dyDescent="0.2"/>
    <row r="951" ht="14.1" hidden="1" customHeight="1" x14ac:dyDescent="0.2"/>
    <row r="952" ht="14.1" hidden="1" customHeight="1" x14ac:dyDescent="0.2"/>
    <row r="953" ht="14.1" hidden="1" customHeight="1" x14ac:dyDescent="0.2"/>
    <row r="954" ht="14.1" hidden="1" customHeight="1" x14ac:dyDescent="0.2"/>
    <row r="955" ht="14.1" hidden="1" customHeight="1" x14ac:dyDescent="0.2"/>
    <row r="956" ht="14.1" hidden="1" customHeight="1" x14ac:dyDescent="0.2"/>
    <row r="957" ht="14.1" hidden="1" customHeight="1" x14ac:dyDescent="0.2"/>
    <row r="958" ht="14.1" hidden="1" customHeight="1" x14ac:dyDescent="0.2"/>
    <row r="959" ht="14.1" hidden="1" customHeight="1" x14ac:dyDescent="0.2"/>
    <row r="960" ht="14.1" hidden="1" customHeight="1" x14ac:dyDescent="0.2"/>
    <row r="961" ht="14.1" hidden="1" customHeight="1" x14ac:dyDescent="0.2"/>
    <row r="962" ht="14.1" hidden="1" customHeight="1" x14ac:dyDescent="0.2"/>
    <row r="963" ht="14.1" hidden="1" customHeight="1" x14ac:dyDescent="0.2"/>
    <row r="964" ht="14.1" hidden="1" customHeight="1" x14ac:dyDescent="0.2"/>
    <row r="965" ht="14.1" hidden="1" customHeight="1" x14ac:dyDescent="0.2"/>
    <row r="966" ht="14.1" hidden="1" customHeight="1" x14ac:dyDescent="0.2"/>
    <row r="967" ht="14.1" hidden="1" customHeight="1" x14ac:dyDescent="0.2"/>
    <row r="968" ht="14.1" hidden="1" customHeight="1" x14ac:dyDescent="0.2"/>
    <row r="969" ht="14.1" hidden="1" customHeight="1" x14ac:dyDescent="0.2"/>
    <row r="970" ht="14.1" hidden="1" customHeight="1" x14ac:dyDescent="0.2"/>
    <row r="971" ht="14.1" hidden="1" customHeight="1" x14ac:dyDescent="0.2"/>
    <row r="972" ht="14.1" hidden="1" customHeight="1" x14ac:dyDescent="0.2"/>
    <row r="973" ht="14.1" hidden="1" customHeight="1" x14ac:dyDescent="0.2"/>
    <row r="974" ht="14.1" hidden="1" customHeight="1" x14ac:dyDescent="0.2"/>
    <row r="975" ht="14.1" hidden="1" customHeight="1" x14ac:dyDescent="0.2"/>
  </sheetData>
  <sheetProtection algorithmName="SHA-512" hashValue="wvOrMtej+7VxNjcVVjWNuSOlxc93wTcjyNPnPN3IwnqN1gFKaMDInuP8ap16teU2fjQsrtkURi+HrMT+tInddA==" saltValue="AW58oKP0shypy4s2wBumow==" spinCount="100000" sheet="1" objects="1" scenarios="1" selectLockedCells="1" autoFilter="0"/>
  <mergeCells count="22">
    <mergeCell ref="H5:J5"/>
    <mergeCell ref="B6:C6"/>
    <mergeCell ref="E6:F6"/>
    <mergeCell ref="H6:J6"/>
    <mergeCell ref="B11:C11"/>
    <mergeCell ref="E11:F11"/>
    <mergeCell ref="H7:J7"/>
    <mergeCell ref="B9:E9"/>
    <mergeCell ref="E10:F10"/>
    <mergeCell ref="B2:G2"/>
    <mergeCell ref="B5:C5"/>
    <mergeCell ref="E5:F5"/>
    <mergeCell ref="B7:C7"/>
    <mergeCell ref="E7:F7"/>
    <mergeCell ref="B76:I76"/>
    <mergeCell ref="F77:H77"/>
    <mergeCell ref="B21:E21"/>
    <mergeCell ref="E22:F22"/>
    <mergeCell ref="B32:F32"/>
    <mergeCell ref="E43:G43"/>
    <mergeCell ref="H43:K43"/>
    <mergeCell ref="B69:E69"/>
  </mergeCells>
  <conditionalFormatting sqref="B26:K27 B29:K30 B17:K17 B24:K24 B35:K35">
    <cfRule type="expression" dxfId="23" priority="8">
      <formula>OR(_Dach_Typ="Fdg",_Dach_Typ="Fd")</formula>
    </cfRule>
  </conditionalFormatting>
  <conditionalFormatting sqref="B39:K39">
    <cfRule type="expression" dxfId="22" priority="5">
      <formula>AND(ISNUMBER($E$38),OR($E$27&gt;0,$E$30&gt;0))</formula>
    </cfRule>
  </conditionalFormatting>
  <conditionalFormatting sqref="E17">
    <cfRule type="expression" dxfId="21" priority="2">
      <formula>OR(_Dach_Typ="Fd",_Dach_Typ="Fdg")</formula>
    </cfRule>
  </conditionalFormatting>
  <conditionalFormatting sqref="E39">
    <cfRule type="expression" dxfId="20" priority="6">
      <formula>AND(ISNUMBER($E$38),OR($E$27&gt;0,$E$30&gt;0))</formula>
    </cfRule>
  </conditionalFormatting>
  <conditionalFormatting sqref="G26 G29">
    <cfRule type="expression" dxfId="19" priority="7">
      <formula>OR(_Dach_Typ="Fdg",_Dach_Typ="Fd")</formula>
    </cfRule>
  </conditionalFormatting>
  <conditionalFormatting sqref="G40">
    <cfRule type="expression" dxfId="18" priority="3">
      <formula>$E$40=0</formula>
    </cfRule>
  </conditionalFormatting>
  <conditionalFormatting sqref="G41">
    <cfRule type="expression" dxfId="17" priority="4">
      <formula>$E$41=0</formula>
    </cfRule>
  </conditionalFormatting>
  <conditionalFormatting sqref="G26:I26 G29:I29">
    <cfRule type="expression" dxfId="16" priority="1">
      <formula>$G26&gt;$E25</formula>
    </cfRule>
  </conditionalFormatting>
  <dataValidations count="6">
    <dataValidation type="list" allowBlank="1" showInputMessage="1" showErrorMessage="1" sqref="E16:E17" xr:uid="{6C2B08D7-45DA-4595-8182-106A46A68C10}">
      <formula1>_Liste_Blendung</formula1>
    </dataValidation>
    <dataValidation type="list" allowBlank="1" showInputMessage="1" showErrorMessage="1" sqref="E11" xr:uid="{649E5A5F-E178-461A-803A-153C4A84F3C3}">
      <formula1>_Liste_Dachtypen</formula1>
    </dataValidation>
    <dataValidation type="list" allowBlank="1" showInputMessage="1" showErrorMessage="1" sqref="E22" xr:uid="{934CF846-F69A-44A8-8A80-A6C506B46873}">
      <formula1>$G$22:$H$22</formula1>
    </dataValidation>
    <dataValidation type="custom" allowBlank="1" showErrorMessage="1" errorTitle="Falsche Eingabe" error="Feld nur für Dachtyp Flachdach / Flachdach begrünt ausfüllen_x000a__x000a_Diese Zahl muss kleiner oder gleich wie die Stückzahl der technischen Vollbelegung sein." promptTitle="Nur bei Flachdach erforderlich" sqref="G26" xr:uid="{CA74F7B2-E01D-4B1F-B1A0-9F25A6029BB4}">
      <formula1>AND(G26&lt;=E25,G26&gt;0)</formula1>
    </dataValidation>
    <dataValidation type="custom" allowBlank="1" showInputMessage="1" showErrorMessage="1" errorTitle="Unzulässige Eingabe" error="Der Wert muss kleiner der Stückzahl der technischen Vollbelegung sein." sqref="E28" xr:uid="{8606F9E5-C9B6-4D5E-8066-2E6BCD69EC01}">
      <formula1>E28&lt;=E25</formula1>
    </dataValidation>
    <dataValidation type="custom" allowBlank="1" showInputMessage="1" showErrorMessage="1" errorTitle="Falsche Eingabe" error="Feld nur für Dachtyp Flachdach / Flachdach begrünt ausfüllen_x000a__x000a_Diese Zahl muss kleiner oder gleich wie die Stückzahl vom gestzlichen Minimum sein." sqref="G29" xr:uid="{A8043CDB-F53E-4457-8343-552E6DEA24AE}">
      <formula1>AND(G29&lt;=E28,G29&gt;0)</formula1>
    </dataValidation>
  </dataValidations>
  <pageMargins left="0.55118110236220474" right="0.51181102362204722" top="0.74803149606299213" bottom="0.70866141732283472" header="0.31496062992125984" footer="0.31496062992125984"/>
  <pageSetup paperSize="9" scale="65" fitToHeight="0" orientation="portrait" r:id="rId1"/>
  <headerFooter>
    <oddHeader xml:space="preserve">&amp;L&amp;8         Planungshilfe Nachweis wirtschaftliche Unverhältnismässigkeit&amp;R&amp;8Stadt Luzern </oddHeader>
    <oddFooter xml:space="preserve">&amp;L&amp;8         &amp;P | &amp;N&amp;R&amp;8Nächste Revision 12.12.2026 </oddFooter>
    <firstHeader>&amp;L&amp;G</first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D5463-9E49-4F73-AB4C-48D8DD2DF5A7}">
  <sheetPr codeName="Tabelle11">
    <pageSetUpPr fitToPage="1"/>
  </sheetPr>
  <dimension ref="A1:R975"/>
  <sheetViews>
    <sheetView showGridLines="0" view="pageLayout" topLeftCell="A10" zoomScaleNormal="100" zoomScaleSheetLayoutView="100" workbookViewId="0">
      <selection activeCell="E10" sqref="E10:F10"/>
    </sheetView>
  </sheetViews>
  <sheetFormatPr baseColWidth="10" defaultColWidth="0" defaultRowHeight="0" customHeight="1" zeroHeight="1" x14ac:dyDescent="0.2"/>
  <cols>
    <col min="1" max="1" width="3.5703125" style="257" customWidth="1"/>
    <col min="2" max="2" width="8.28515625" customWidth="1"/>
    <col min="3" max="3" width="25.5703125" customWidth="1"/>
    <col min="4" max="4" width="24.140625" style="14" hidden="1" customWidth="1"/>
    <col min="5" max="5" width="15" customWidth="1"/>
    <col min="6" max="6" width="17.5703125" customWidth="1"/>
    <col min="7" max="8" width="14.28515625" customWidth="1"/>
    <col min="9" max="10" width="11.42578125" customWidth="1"/>
    <col min="11" max="11" width="18.42578125" customWidth="1"/>
    <col min="12" max="12" width="6" customWidth="1"/>
    <col min="13" max="13" width="34.28515625" hidden="1" customWidth="1"/>
    <col min="14" max="18" width="0" hidden="1" customWidth="1"/>
    <col min="19" max="16384" width="11.42578125" hidden="1"/>
  </cols>
  <sheetData>
    <row r="1" spans="1:18" ht="12.75" hidden="1" x14ac:dyDescent="0.2">
      <c r="A1" s="262"/>
      <c r="B1" s="14" t="str">
        <f ca="1">MID(CELL("dateiname",B2),SEARCH("]",CELL("dateiname",B2))+1,31)</f>
        <v>Dachfläche (5)</v>
      </c>
      <c r="C1" s="14"/>
      <c r="E1" s="14"/>
      <c r="F1" s="14"/>
      <c r="G1" s="14"/>
      <c r="H1" s="14"/>
      <c r="I1" s="14"/>
      <c r="J1" s="14"/>
      <c r="K1" s="14"/>
    </row>
    <row r="2" spans="1:18" s="12" customFormat="1" ht="21" customHeight="1" x14ac:dyDescent="0.3">
      <c r="A2" s="259"/>
      <c r="B2" s="713" t="str">
        <f t="shared" ref="B2" ca="1" si="0">"Zusammenstellung Kennwerte "&amp;B1</f>
        <v>Zusammenstellung Kennwerte Dachfläche (5)</v>
      </c>
      <c r="C2" s="713"/>
      <c r="D2" s="713"/>
      <c r="E2" s="713"/>
      <c r="F2" s="713"/>
      <c r="G2" s="713"/>
      <c r="N2"/>
      <c r="O2"/>
      <c r="P2"/>
      <c r="Q2"/>
      <c r="R2"/>
    </row>
    <row r="3" spans="1:18" ht="12.75" x14ac:dyDescent="0.2"/>
    <row r="4" spans="1:18" s="12" customFormat="1" ht="20.25" x14ac:dyDescent="0.3">
      <c r="A4" s="259"/>
      <c r="B4" s="286" t="s">
        <v>26</v>
      </c>
      <c r="D4" s="150"/>
      <c r="N4"/>
      <c r="O4"/>
      <c r="P4"/>
      <c r="Q4"/>
      <c r="R4"/>
    </row>
    <row r="5" spans="1:18" s="16" customFormat="1" ht="19.899999999999999" customHeight="1" x14ac:dyDescent="0.25">
      <c r="A5" s="260"/>
      <c r="B5" s="684" t="str">
        <f>'3 Bericht'!B2</f>
        <v>Projektname</v>
      </c>
      <c r="C5" s="685"/>
      <c r="D5" s="509"/>
      <c r="E5" s="714">
        <f>_Projektname</f>
        <v>0</v>
      </c>
      <c r="F5" s="715"/>
      <c r="G5" s="575"/>
      <c r="H5" s="706" t="str">
        <f>'3 Bericht'!J2</f>
        <v>Netzversorger</v>
      </c>
      <c r="I5" s="707"/>
      <c r="J5" s="707"/>
      <c r="K5" s="510">
        <f>_Netzversorger</f>
        <v>0</v>
      </c>
    </row>
    <row r="6" spans="1:18" s="16" customFormat="1" ht="19.899999999999999" customHeight="1" x14ac:dyDescent="0.25">
      <c r="A6" s="260"/>
      <c r="B6" s="686" t="str">
        <f>'3 Bericht'!B3</f>
        <v>Adresse</v>
      </c>
      <c r="C6" s="687"/>
      <c r="D6" s="511"/>
      <c r="E6" s="694">
        <f>_Adresse</f>
        <v>0</v>
      </c>
      <c r="F6" s="695"/>
      <c r="G6" s="575"/>
      <c r="H6" s="708" t="str">
        <f>'3 Bericht'!J3</f>
        <v>Fertigstellung (geplant)</v>
      </c>
      <c r="I6" s="709"/>
      <c r="J6" s="709"/>
      <c r="K6" s="512">
        <f>_Datum_IBS</f>
        <v>0</v>
      </c>
    </row>
    <row r="7" spans="1:18" s="16" customFormat="1" ht="19.899999999999999" customHeight="1" x14ac:dyDescent="0.25">
      <c r="A7" s="260"/>
      <c r="B7" s="686" t="str">
        <f>'3 Bericht'!B4</f>
        <v>PLZ Ort</v>
      </c>
      <c r="C7" s="687"/>
      <c r="D7" s="511"/>
      <c r="E7" s="694">
        <f>_PLZ</f>
        <v>0</v>
      </c>
      <c r="F7" s="695"/>
      <c r="G7" s="575"/>
      <c r="H7" s="708" t="str">
        <f>'3 Bericht'!J5</f>
        <v>MWSt. pflichtig</v>
      </c>
      <c r="I7" s="709"/>
      <c r="J7" s="709"/>
      <c r="K7" s="513" t="str">
        <f>'3 Bericht'!M5</f>
        <v>Nein</v>
      </c>
    </row>
    <row r="8" spans="1:18" ht="12.75" x14ac:dyDescent="0.2"/>
    <row r="9" spans="1:18" s="12" customFormat="1" ht="20.25" x14ac:dyDescent="0.3">
      <c r="A9" s="259"/>
      <c r="B9" s="679" t="s">
        <v>66</v>
      </c>
      <c r="C9" s="679"/>
      <c r="D9" s="679"/>
      <c r="E9" s="679"/>
      <c r="M9" s="16"/>
      <c r="N9"/>
      <c r="O9"/>
      <c r="P9"/>
      <c r="Q9"/>
      <c r="R9"/>
    </row>
    <row r="10" spans="1:18" s="16" customFormat="1" ht="19.899999999999999" customHeight="1" x14ac:dyDescent="0.25">
      <c r="A10" s="260"/>
      <c r="B10" s="303" t="s">
        <v>80</v>
      </c>
      <c r="C10" s="303"/>
      <c r="D10" s="516" t="s">
        <v>113</v>
      </c>
      <c r="E10" s="716"/>
      <c r="F10" s="716"/>
      <c r="G10" s="517"/>
      <c r="H10" s="303"/>
      <c r="I10" s="303"/>
      <c r="J10" s="303"/>
      <c r="K10" s="303"/>
    </row>
    <row r="11" spans="1:18" s="16" customFormat="1" ht="19.899999999999999" customHeight="1" x14ac:dyDescent="0.25">
      <c r="A11" s="260"/>
      <c r="B11" s="710" t="s">
        <v>251</v>
      </c>
      <c r="C11" s="710"/>
      <c r="D11" s="516" t="s">
        <v>418</v>
      </c>
      <c r="E11" s="711"/>
      <c r="F11" s="712"/>
      <c r="G11" s="303" t="s">
        <v>541</v>
      </c>
      <c r="H11" s="303"/>
      <c r="I11" s="303"/>
      <c r="J11" s="303"/>
      <c r="K11" s="303"/>
    </row>
    <row r="12" spans="1:18" s="21" customFormat="1" ht="19.899999999999999" hidden="1" customHeight="1" x14ac:dyDescent="0.25">
      <c r="A12" s="261"/>
      <c r="B12" s="518"/>
      <c r="C12" s="518"/>
      <c r="D12" s="516" t="s">
        <v>270</v>
      </c>
      <c r="E12" s="519" t="str">
        <f>IFERROR(VLOOKUP(E11,Basisdaten!B151:C154,2,FALSE),"")</f>
        <v/>
      </c>
      <c r="F12" s="520"/>
      <c r="G12" s="516"/>
      <c r="H12" s="516"/>
      <c r="I12" s="516"/>
      <c r="J12" s="516"/>
      <c r="K12" s="516"/>
      <c r="L12" s="16"/>
    </row>
    <row r="13" spans="1:18" s="16" customFormat="1" ht="19.899999999999999" customHeight="1" x14ac:dyDescent="0.25">
      <c r="A13" s="260"/>
      <c r="B13" s="303" t="s">
        <v>278</v>
      </c>
      <c r="C13" s="303"/>
      <c r="D13" s="516" t="s">
        <v>100</v>
      </c>
      <c r="E13" s="521"/>
      <c r="F13" s="522" t="s">
        <v>542</v>
      </c>
      <c r="G13" s="303" t="s">
        <v>279</v>
      </c>
      <c r="H13" s="303"/>
      <c r="I13" s="303"/>
      <c r="J13" s="303"/>
      <c r="K13" s="303"/>
    </row>
    <row r="14" spans="1:18" s="16" customFormat="1" ht="19.899999999999999" customHeight="1" x14ac:dyDescent="0.25">
      <c r="A14" s="260"/>
      <c r="B14" s="297" t="str">
        <f>IF(OR(_Dach_Typ="Fdg",_Dach_Typ="Fd"),"Hauptausrichtung","Ausrichtung")</f>
        <v>Ausrichtung</v>
      </c>
      <c r="C14" s="297"/>
      <c r="D14" s="437" t="s">
        <v>34</v>
      </c>
      <c r="E14" s="523"/>
      <c r="F14" s="524" t="s">
        <v>46</v>
      </c>
      <c r="G14" s="297" t="s">
        <v>58</v>
      </c>
      <c r="H14" s="297"/>
      <c r="I14" s="297"/>
      <c r="J14" s="297"/>
      <c r="K14" s="297"/>
    </row>
    <row r="15" spans="1:18" s="16" customFormat="1" ht="19.899999999999999" customHeight="1" x14ac:dyDescent="0.25">
      <c r="A15" s="260"/>
      <c r="B15" s="297" t="str">
        <f>IF(OR(_Dach_Typ="Fdg",_Dach_Typ="Fd"),"Modulneigung","Dachneigung")</f>
        <v>Dachneigung</v>
      </c>
      <c r="C15" s="297"/>
      <c r="D15" s="437" t="s">
        <v>35</v>
      </c>
      <c r="E15" s="523"/>
      <c r="F15" s="524" t="s">
        <v>46</v>
      </c>
      <c r="G15" s="297" t="s">
        <v>59</v>
      </c>
      <c r="H15" s="297"/>
      <c r="I15" s="297"/>
      <c r="J15" s="297"/>
      <c r="K15" s="297"/>
    </row>
    <row r="16" spans="1:18" s="16" customFormat="1" ht="19.899999999999999" customHeight="1" x14ac:dyDescent="0.25">
      <c r="A16" s="260"/>
      <c r="B16" s="297" t="str">
        <f>IF(OR(_Dach_Typ="Fdg",_Dach_Typ="Fd"),"Blendung in Hauptausrichtung","Blendung")</f>
        <v>Blendung</v>
      </c>
      <c r="C16" s="297"/>
      <c r="D16" s="437" t="s">
        <v>305</v>
      </c>
      <c r="E16" s="525"/>
      <c r="F16" s="524"/>
      <c r="G16" s="297" t="str">
        <f>IFERROR(VLOOKUP(E16,_Reflektionstyp,2,FALSE),"Abklärung erforderlich")</f>
        <v>Abklärung erforderlich</v>
      </c>
      <c r="H16" s="297"/>
      <c r="I16" s="297"/>
      <c r="J16" s="297"/>
      <c r="K16" s="297"/>
      <c r="M16" s="218"/>
    </row>
    <row r="17" spans="1:18" s="16" customFormat="1" ht="19.899999999999999" customHeight="1" x14ac:dyDescent="0.25">
      <c r="A17" s="260"/>
      <c r="B17" s="526" t="s">
        <v>307</v>
      </c>
      <c r="C17" s="527"/>
      <c r="D17" s="528" t="s">
        <v>306</v>
      </c>
      <c r="E17" s="529" t="s">
        <v>274</v>
      </c>
      <c r="F17" s="530"/>
      <c r="G17" s="527" t="str">
        <f>IFERROR(VLOOKUP(E17,_Reflektionstyp,2,FALSE),"Abklärung erforderlich")</f>
        <v>Reflektionen klären! (unkritisch / kritisch)</v>
      </c>
      <c r="H17" s="527"/>
      <c r="I17" s="527"/>
      <c r="J17" s="527"/>
      <c r="K17" s="527"/>
    </row>
    <row r="18" spans="1:18" s="14" customFormat="1" ht="15" hidden="1" customHeight="1" x14ac:dyDescent="0.2">
      <c r="A18" s="262"/>
      <c r="C18" s="14" t="s">
        <v>65</v>
      </c>
      <c r="E18" s="14">
        <f>RADIANS(E14)</f>
        <v>0</v>
      </c>
      <c r="L18"/>
    </row>
    <row r="19" spans="1:18" s="14" customFormat="1" ht="12.75" hidden="1" x14ac:dyDescent="0.2">
      <c r="A19" s="262"/>
      <c r="C19" s="14" t="s">
        <v>62</v>
      </c>
      <c r="E19" s="14">
        <f>IF(_Dach_Typ=INDEX(_Liste_Dachtypen,1),0,-RADIANS(E15))</f>
        <v>0</v>
      </c>
      <c r="L19"/>
    </row>
    <row r="20" spans="1:18" ht="12.75" x14ac:dyDescent="0.2"/>
    <row r="21" spans="1:18" s="12" customFormat="1" ht="20.25" x14ac:dyDescent="0.3">
      <c r="A21" s="259"/>
      <c r="B21" s="679" t="s">
        <v>42</v>
      </c>
      <c r="C21" s="679"/>
      <c r="D21" s="679"/>
      <c r="E21" s="679"/>
      <c r="N21"/>
      <c r="O21"/>
      <c r="P21"/>
      <c r="Q21"/>
      <c r="R21"/>
    </row>
    <row r="22" spans="1:18" s="16" customFormat="1" ht="19.899999999999999" customHeight="1" x14ac:dyDescent="0.25">
      <c r="A22" s="260"/>
      <c r="B22" s="303" t="s">
        <v>43</v>
      </c>
      <c r="C22" s="303"/>
      <c r="D22" s="516" t="s">
        <v>67</v>
      </c>
      <c r="E22" s="718"/>
      <c r="F22" s="718"/>
      <c r="G22" s="303" t="s">
        <v>84</v>
      </c>
      <c r="H22" s="303" t="s">
        <v>85</v>
      </c>
      <c r="I22" s="303"/>
      <c r="J22" s="303"/>
      <c r="K22" s="303"/>
    </row>
    <row r="23" spans="1:18" s="16" customFormat="1" ht="19.899999999999999" customHeight="1" x14ac:dyDescent="0.25">
      <c r="A23" s="260"/>
      <c r="B23" s="303" t="str">
        <f>IF(OR(_Dach_Typ="Fdg",_Dach_Typ="Fd"),"Modultyp für Hauptausrichtung","Modultyp")</f>
        <v>Modultyp</v>
      </c>
      <c r="C23" s="303"/>
      <c r="D23" s="516" t="s">
        <v>317</v>
      </c>
      <c r="E23" s="504" t="str">
        <f>IF($E16="krit","Blendarm","Standard")</f>
        <v>Standard</v>
      </c>
      <c r="F23" s="531">
        <f>IF(E16="krit",_Modulleistung_Blendarm,_Modulleistung_Standard)</f>
        <v>475</v>
      </c>
      <c r="G23" s="303" t="s">
        <v>50</v>
      </c>
      <c r="H23" s="303"/>
      <c r="I23" s="303"/>
      <c r="J23" s="303"/>
      <c r="K23" s="303"/>
    </row>
    <row r="24" spans="1:18" s="16" customFormat="1" ht="19.899999999999999" customHeight="1" x14ac:dyDescent="0.25">
      <c r="A24" s="260"/>
      <c r="B24" s="527" t="s">
        <v>308</v>
      </c>
      <c r="C24" s="527"/>
      <c r="D24" s="528" t="s">
        <v>318</v>
      </c>
      <c r="E24" s="530" t="str">
        <f>IF($E17="krit","Blendarm","Standard")</f>
        <v>Standard</v>
      </c>
      <c r="F24" s="532" cm="1">
        <f t="array" ref="F24">_xlfn.IFS(_Dach_Typ="Sd",0,_Dach_Typ="Pp",0,TRUE,IF(E17="krit",_Modulleistung_Blendarm,_Modulleistung_Standard))</f>
        <v>475</v>
      </c>
      <c r="G24" s="527" t="s">
        <v>50</v>
      </c>
      <c r="H24" s="527"/>
      <c r="I24" s="527"/>
      <c r="J24" s="527"/>
      <c r="K24" s="527"/>
    </row>
    <row r="25" spans="1:18" s="16" customFormat="1" ht="19.5" customHeight="1" x14ac:dyDescent="0.25">
      <c r="A25" s="260"/>
      <c r="B25" s="533" t="s">
        <v>549</v>
      </c>
      <c r="C25" s="533"/>
      <c r="D25" s="455"/>
      <c r="E25" s="534"/>
      <c r="F25" s="535" t="str">
        <f>IF(OR(_Dach_Typ="Sd",_Dach_Typ="Pp"),"Stk. ("&amp;E23&amp;")","")</f>
        <v/>
      </c>
      <c r="G25" s="533" t="s">
        <v>551</v>
      </c>
      <c r="H25" s="533"/>
      <c r="I25" s="533"/>
      <c r="J25" s="533"/>
      <c r="K25" s="533"/>
    </row>
    <row r="26" spans="1:18" s="151" customFormat="1" ht="19.5" customHeight="1" x14ac:dyDescent="0.2">
      <c r="A26" s="263"/>
      <c r="B26" s="527" t="str">
        <f>"Davon in Hauptausrichtung: "&amp;E14&amp;"°"</f>
        <v>Davon in Hauptausrichtung: °</v>
      </c>
      <c r="C26" s="527"/>
      <c r="D26" s="528" t="s">
        <v>319</v>
      </c>
      <c r="E26" s="536">
        <f>IF(OR(_Dach_Typ="Sd",_Dach_Typ="Pp"),E25,
IF(AND(OR(_Dach_Typ="Fd",_Dach_Typ="Fdg"),OR(ISBLANK(G26),G26&gt;E25)),ROUNDUP(E25/2,0),G26))</f>
        <v>0</v>
      </c>
      <c r="F26" s="530" t="str">
        <f>"Stk. ("&amp;E23&amp;")"</f>
        <v>Stk. (Standard)</v>
      </c>
      <c r="G26" s="537"/>
      <c r="H26" s="530" t="s">
        <v>82</v>
      </c>
      <c r="I26" s="527" t="str">
        <f>IF(G26&gt;E25,"ungültiger Wert","Manuelle Eingabe")</f>
        <v>Manuelle Eingabe</v>
      </c>
      <c r="J26" s="527"/>
      <c r="K26" s="527"/>
      <c r="M26" s="155"/>
    </row>
    <row r="27" spans="1:18" s="151" customFormat="1" ht="19.5" customHeight="1" x14ac:dyDescent="0.2">
      <c r="A27" s="263"/>
      <c r="B27" s="538" t="str">
        <f>"und in Zweitausrichtung: "&amp;E14-180*SIGN(E14)&amp;"°"</f>
        <v>und in Zweitausrichtung: 0°</v>
      </c>
      <c r="C27" s="538"/>
      <c r="D27" s="539" t="s">
        <v>320</v>
      </c>
      <c r="E27" s="540">
        <f>E25-E26</f>
        <v>0</v>
      </c>
      <c r="F27" s="541" t="str">
        <f>"Stk. ("&amp;E24&amp;")"</f>
        <v>Stk. (Standard)</v>
      </c>
      <c r="G27" s="542"/>
      <c r="H27" s="538"/>
      <c r="I27" s="538"/>
      <c r="J27" s="538"/>
      <c r="K27" s="538"/>
      <c r="M27" s="155"/>
    </row>
    <row r="28" spans="1:18" s="16" customFormat="1" ht="19.5" customHeight="1" x14ac:dyDescent="0.25">
      <c r="A28" s="260"/>
      <c r="B28" s="303" t="s">
        <v>550</v>
      </c>
      <c r="C28" s="303"/>
      <c r="D28" s="516"/>
      <c r="E28" s="543">
        <f>E25</f>
        <v>0</v>
      </c>
      <c r="F28" s="535" t="str">
        <f>IF(OR(_Dach_Typ="Sd",_Dach_Typ="Pp"),"Stk. ("&amp;E23&amp;")","")</f>
        <v/>
      </c>
      <c r="G28" s="303" t="s">
        <v>552</v>
      </c>
      <c r="H28" s="303"/>
      <c r="I28" s="303"/>
      <c r="J28" s="303"/>
      <c r="K28" s="303"/>
    </row>
    <row r="29" spans="1:18" s="16" customFormat="1" ht="19.5" customHeight="1" x14ac:dyDescent="0.25">
      <c r="A29" s="260"/>
      <c r="B29" s="527" t="str">
        <f>"Davon in Hauptausrichtung: "&amp;E14&amp;"°"</f>
        <v>Davon in Hauptausrichtung: °</v>
      </c>
      <c r="C29" s="527"/>
      <c r="D29" s="528" t="s">
        <v>321</v>
      </c>
      <c r="E29" s="536">
        <f>IF(OR(_Dach_Typ="Sd",_Dach_Typ="Pp"),E28,
IF(AND(OR(_Dach_Typ="Fd",_Dach_Typ="Fdg"),OR(ISBLANK(G29),G29&gt;E28)),ROUNDUP(E28/2,0),G29))</f>
        <v>0</v>
      </c>
      <c r="F29" s="530" t="str">
        <f>"Stk. ("&amp;E23&amp;")"</f>
        <v>Stk. (Standard)</v>
      </c>
      <c r="G29" s="537"/>
      <c r="H29" s="530" t="s">
        <v>82</v>
      </c>
      <c r="I29" s="527" t="str">
        <f>IF(G29&gt;E28,"ungültiger Wert","Manuelle Eingabe")</f>
        <v>Manuelle Eingabe</v>
      </c>
      <c r="J29" s="527"/>
      <c r="K29" s="527"/>
    </row>
    <row r="30" spans="1:18" s="16" customFormat="1" ht="19.5" customHeight="1" x14ac:dyDescent="0.25">
      <c r="A30" s="260"/>
      <c r="B30" s="527" t="str">
        <f>"und in Zweitausrichtung: "&amp;E14-180*SIGN(E14)&amp;"°"</f>
        <v>und in Zweitausrichtung: 0°</v>
      </c>
      <c r="C30" s="527"/>
      <c r="D30" s="528" t="s">
        <v>322</v>
      </c>
      <c r="E30" s="536">
        <f>E28-E29</f>
        <v>0</v>
      </c>
      <c r="F30" s="530" t="str">
        <f>"Stk. ("&amp;E24&amp;")"</f>
        <v>Stk. (Standard)</v>
      </c>
      <c r="G30" s="544"/>
      <c r="H30" s="527"/>
      <c r="I30" s="527"/>
      <c r="J30" s="527"/>
      <c r="K30" s="527"/>
    </row>
    <row r="31" spans="1:18" ht="12.75" x14ac:dyDescent="0.2"/>
    <row r="32" spans="1:18" s="12" customFormat="1" ht="20.25" x14ac:dyDescent="0.3">
      <c r="A32" s="259"/>
      <c r="B32" s="679" t="s">
        <v>179</v>
      </c>
      <c r="C32" s="679"/>
      <c r="D32" s="679"/>
      <c r="E32" s="679"/>
      <c r="F32" s="679"/>
      <c r="N32"/>
      <c r="O32"/>
      <c r="P32"/>
      <c r="Q32"/>
      <c r="R32"/>
    </row>
    <row r="33" spans="1:18" s="16" customFormat="1" ht="19.899999999999999" customHeight="1" x14ac:dyDescent="0.3">
      <c r="A33" s="260"/>
      <c r="B33" s="303" t="s">
        <v>543</v>
      </c>
      <c r="C33" s="303" t="s">
        <v>288</v>
      </c>
      <c r="D33" s="516"/>
      <c r="E33" s="545">
        <f>_Spez_Ertrag_Standort</f>
        <v>900</v>
      </c>
      <c r="F33" s="522" t="s">
        <v>97</v>
      </c>
      <c r="G33" s="303" t="str">
        <f>"Spezifischer Ertrag am Standort bei horizontaler Montage"</f>
        <v>Spezifischer Ertrag am Standort bei horizontaler Montage</v>
      </c>
      <c r="H33" s="303"/>
      <c r="I33" s="303"/>
      <c r="J33" s="303"/>
      <c r="K33" s="303"/>
    </row>
    <row r="34" spans="1:18" s="16" customFormat="1" ht="19.5" customHeight="1" x14ac:dyDescent="0.3">
      <c r="A34" s="260"/>
      <c r="B34" s="297" t="s">
        <v>544</v>
      </c>
      <c r="C34" s="297" t="str">
        <f>IF(OR(_Dach_Typ="Fdg",_Dach_Typ="Fd"),"Hauptausrichtung","Ausrichtung")</f>
        <v>Ausrichtung</v>
      </c>
      <c r="D34" s="437" t="s">
        <v>323</v>
      </c>
      <c r="E34" s="546" cm="1">
        <f t="array" ref="E34">(INDEX(_Faktor_Ausrichtung,ROUND(((E15/_RasterNeigung))+1,0),ROUND((((E14)/_RasterAzimut))+180/_RasterAzimut+1,0),1))</f>
        <v>1</v>
      </c>
      <c r="F34" s="524"/>
      <c r="G34" s="297" t="str">
        <f>"Abweichung durch "&amp;C34</f>
        <v>Abweichung durch Ausrichtung</v>
      </c>
      <c r="H34" s="297"/>
      <c r="I34" s="297"/>
      <c r="J34" s="297"/>
      <c r="K34" s="297"/>
      <c r="M34" s="156"/>
    </row>
    <row r="35" spans="1:18" s="16" customFormat="1" ht="19.5" customHeight="1" x14ac:dyDescent="0.3">
      <c r="A35" s="260"/>
      <c r="B35" s="527" t="s">
        <v>545</v>
      </c>
      <c r="C35" s="527" t="s">
        <v>289</v>
      </c>
      <c r="D35" s="528" t="s">
        <v>283</v>
      </c>
      <c r="E35" s="547" cm="1">
        <f t="array" ref="E35">INDEX(_Faktor_Ausrichtung,ROUND(((E15/_RasterNeigung))+1,0),ROUND((((E14-180*SIGN(E14))/_RasterAzimut))+180/_RasterAzimut+1,0),1)</f>
        <v>1</v>
      </c>
      <c r="F35" s="530"/>
      <c r="G35" s="536" t="str">
        <f>"Abweichung durch "&amp;C35</f>
        <v>Abweichung durch Zweitausrichtung</v>
      </c>
      <c r="H35" s="530"/>
      <c r="I35" s="527"/>
      <c r="J35" s="527"/>
      <c r="K35" s="527"/>
    </row>
    <row r="36" spans="1:18" s="21" customFormat="1" ht="19.899999999999999" hidden="1" customHeight="1" x14ac:dyDescent="0.3">
      <c r="A36" s="261"/>
      <c r="B36" s="437" t="s">
        <v>543</v>
      </c>
      <c r="C36" s="437" t="s">
        <v>290</v>
      </c>
      <c r="D36" s="437"/>
      <c r="E36" s="548" t="str">
        <f>IFERROR(E33*((E34*E26)+(E35*E27))/(E26+E27),"")</f>
        <v/>
      </c>
      <c r="F36" s="549" t="s">
        <v>97</v>
      </c>
      <c r="G36" s="437" t="s">
        <v>95</v>
      </c>
      <c r="H36" s="437"/>
      <c r="I36" s="437"/>
      <c r="J36" s="437"/>
      <c r="K36" s="437"/>
      <c r="L36" s="16"/>
    </row>
    <row r="37" spans="1:18" s="21" customFormat="1" ht="19.899999999999999" hidden="1" customHeight="1" x14ac:dyDescent="0.3">
      <c r="A37" s="261"/>
      <c r="B37" s="437" t="s">
        <v>543</v>
      </c>
      <c r="C37" s="437" t="s">
        <v>291</v>
      </c>
      <c r="D37" s="437"/>
      <c r="E37" s="548" t="str">
        <f>IFERROR(E33*((E34*E29)+(E35*E30))/(E29+E30),"")</f>
        <v/>
      </c>
      <c r="F37" s="549" t="s">
        <v>97</v>
      </c>
      <c r="G37" s="437" t="s">
        <v>95</v>
      </c>
      <c r="H37" s="437"/>
      <c r="I37" s="437"/>
      <c r="J37" s="437"/>
      <c r="K37" s="437"/>
      <c r="L37" s="16"/>
    </row>
    <row r="38" spans="1:18" s="16" customFormat="1" ht="19.5" customHeight="1" x14ac:dyDescent="0.3">
      <c r="A38" s="260"/>
      <c r="B38" s="297" t="s">
        <v>543</v>
      </c>
      <c r="C38" s="297" t="str">
        <f>C34</f>
        <v>Ausrichtung</v>
      </c>
      <c r="D38" s="437" t="s">
        <v>332</v>
      </c>
      <c r="E38" s="550"/>
      <c r="F38" s="524" t="s">
        <v>97</v>
      </c>
      <c r="G38" s="297" t="s">
        <v>96</v>
      </c>
      <c r="H38" s="297"/>
      <c r="I38" s="297"/>
      <c r="J38" s="297"/>
      <c r="K38" s="297"/>
      <c r="M38" s="156"/>
    </row>
    <row r="39" spans="1:18" s="16" customFormat="1" ht="19.5" customHeight="1" x14ac:dyDescent="0.3">
      <c r="A39" s="260"/>
      <c r="B39" s="551" t="s">
        <v>546</v>
      </c>
      <c r="C39" s="551" t="s">
        <v>289</v>
      </c>
      <c r="D39" s="552"/>
      <c r="E39" s="553"/>
      <c r="F39" s="554" t="s">
        <v>97</v>
      </c>
      <c r="G39" s="551" t="s">
        <v>96</v>
      </c>
      <c r="H39" s="551"/>
      <c r="I39" s="551"/>
      <c r="J39" s="551"/>
      <c r="K39" s="551"/>
    </row>
    <row r="40" spans="1:18" s="16" customFormat="1" ht="19.899999999999999" customHeight="1" x14ac:dyDescent="0.3">
      <c r="A40" s="260"/>
      <c r="B40" s="297" t="s">
        <v>543</v>
      </c>
      <c r="C40" s="297" t="s">
        <v>292</v>
      </c>
      <c r="D40" s="437" t="s">
        <v>284</v>
      </c>
      <c r="E40" s="555" t="str">
        <f>IF(AND(OR(_Dach_Typ="Fdg",_Dach_Typ="Fd"),E27&gt;0,ISNUMBER(E38),ISNUMBER(E39)),(E38*E26+E39*E27)/(E25),
IF(AND(OR(AND(OR(_Dach_Typ="Fdg",_Dach_Typ="Fd"),E27=0),_Dach_Typ="Sd",_Dach_Typ="Pp"),ISNUMBER(E38)),E38,
IF(AND(OR(E27&gt;0,E30&gt;0),ISNUMBER(E38),NOT(ISNUMBER(E39))),0,E36)))</f>
        <v/>
      </c>
      <c r="F40" s="524" t="s">
        <v>97</v>
      </c>
      <c r="G40" s="297" t="str">
        <f>IF(E40=0,"Eingabe Zweitausrichtung erforderlich","Rechenwert spez. Jahresertrag bei technischer Vollbelegung")</f>
        <v>Rechenwert spez. Jahresertrag bei technischer Vollbelegung</v>
      </c>
      <c r="H40" s="297"/>
      <c r="I40" s="297"/>
      <c r="J40" s="297"/>
      <c r="K40" s="297"/>
    </row>
    <row r="41" spans="1:18" s="16" customFormat="1" ht="19.899999999999999" customHeight="1" x14ac:dyDescent="0.3">
      <c r="A41" s="260"/>
      <c r="B41" s="372" t="s">
        <v>543</v>
      </c>
      <c r="C41" s="372" t="s">
        <v>293</v>
      </c>
      <c r="D41" s="449" t="s">
        <v>285</v>
      </c>
      <c r="E41" s="556" t="str">
        <f>IF(AND(OR(_Dach_Typ="Fdg",_Dach_Typ="Fd"),E30&gt;0,ISNUMBER(E38),ISNUMBER(E39)),(E38*E29+E39*E30)/(E28),
IF(AND(OR(AND(OR(_Dach_Typ="Fdg",_Dach_Typ="Fd"),E30=0),_Dach_Typ="Sd",_Dach_Typ="Pp"),ISNUMBER(E38)),E38,E37))</f>
        <v/>
      </c>
      <c r="F41" s="515" t="s">
        <v>97</v>
      </c>
      <c r="G41" s="372" t="str">
        <f>IF(E41=0,"Eingabe Zweitausrichtung erforderlich","Rechenwert spez. Jahresertrag bei gesetzlichem Minimum")</f>
        <v>Rechenwert spez. Jahresertrag bei gesetzlichem Minimum</v>
      </c>
      <c r="H41" s="372"/>
      <c r="I41" s="372"/>
      <c r="J41" s="372"/>
      <c r="K41" s="372"/>
    </row>
    <row r="42" spans="1:18" ht="12.75" x14ac:dyDescent="0.2"/>
    <row r="43" spans="1:18" s="12" customFormat="1" ht="20.25" x14ac:dyDescent="0.3">
      <c r="A43" s="259"/>
      <c r="B43" s="286" t="s">
        <v>221</v>
      </c>
      <c r="D43" s="150"/>
      <c r="E43" s="719" t="s">
        <v>383</v>
      </c>
      <c r="F43" s="719"/>
      <c r="G43" s="719"/>
      <c r="H43" s="719" t="s">
        <v>384</v>
      </c>
      <c r="I43" s="719"/>
      <c r="J43" s="719"/>
      <c r="K43" s="719"/>
      <c r="N43"/>
      <c r="O43"/>
      <c r="P43"/>
      <c r="Q43"/>
      <c r="R43"/>
    </row>
    <row r="44" spans="1:18" s="12" customFormat="1" ht="19.5" customHeight="1" x14ac:dyDescent="0.3">
      <c r="A44" s="259"/>
      <c r="B44" s="303" t="s">
        <v>363</v>
      </c>
      <c r="C44" s="303"/>
      <c r="D44" s="516"/>
      <c r="E44" s="545">
        <f ca="1">IFERROR(_EIV_t.Vb./_Anlageleistung_t.Vb.*E51,0)</f>
        <v>0</v>
      </c>
      <c r="F44" s="522" t="s">
        <v>31</v>
      </c>
      <c r="G44" s="428"/>
      <c r="H44" s="545">
        <f ca="1">IFERROR(_EIV_g.Min./_Anlageleistung_g.Min.*E60,0)</f>
        <v>0</v>
      </c>
      <c r="I44" s="296" t="s">
        <v>31</v>
      </c>
      <c r="J44" s="429"/>
      <c r="K44"/>
      <c r="M44" s="218"/>
      <c r="N44"/>
      <c r="O44"/>
      <c r="P44"/>
      <c r="Q44"/>
      <c r="R44"/>
    </row>
    <row r="45" spans="1:18" s="16" customFormat="1" ht="19.899999999999999" customHeight="1" x14ac:dyDescent="0.25">
      <c r="A45" s="260"/>
      <c r="B45" s="303" t="s">
        <v>222</v>
      </c>
      <c r="C45" s="303"/>
      <c r="D45" s="516" t="s">
        <v>313</v>
      </c>
      <c r="E45" s="545">
        <f>IF(AND(E15&gt;=_Neigungswinkel_für_NB_Bund,E15&lt;=90),(E26*F23)/1000*_Bonus_Neigungswinkel_Bund+IF(OR(_Dach_Typ="Fd",_Dach_Typ="Fdg"),(F24*E27)/1000*_Bonus_Neigungswinkel_Bund,0),0)</f>
        <v>0</v>
      </c>
      <c r="F45" s="429" t="s">
        <v>31</v>
      </c>
      <c r="G45" s="514"/>
      <c r="H45" s="545">
        <f>IF(AND(E15&gt;=_Neigungswinkel_für_NB_Bund,E15&lt;=90),(E29*F23)/1000*_Bonus_Neigungswinkel_Bund+IF(OR(_Dach_Typ="Fd",_Dach_Typ="Fdg"),(F24*E30)/1000*_Bonus_Neigungswinkel_Bund,0),0)</f>
        <v>0</v>
      </c>
      <c r="I45" s="303" t="s">
        <v>31</v>
      </c>
      <c r="J45" s="429"/>
      <c r="K45"/>
    </row>
    <row r="46" spans="1:18" s="16" customFormat="1" ht="19.899999999999999" customHeight="1" x14ac:dyDescent="0.25">
      <c r="A46" s="260"/>
      <c r="B46" s="297" t="s">
        <v>223</v>
      </c>
      <c r="C46" s="297"/>
      <c r="D46" s="437" t="s">
        <v>314</v>
      </c>
      <c r="E46" s="555">
        <f>IFERROR(IF(AND(E11=Basisdaten!B154,(E26*F23+E27*F24)/1000&gt;=_Schwelle_PPBonus),(E26*F23+E27*F24)/1000*_Bonus_Pp_pronovo,0),0)</f>
        <v>0</v>
      </c>
      <c r="F46" s="557" t="s">
        <v>31</v>
      </c>
      <c r="G46" s="514"/>
      <c r="H46" s="555">
        <f>IFERROR(IF(AND(E11=Basisdaten!B154,(E29*F23+E30*F24)/1000&gt;=_Schwelle_PPBonus),(E29*F23+E30*F24)/1000*_Bonus_Pp_pronovo,0),0)</f>
        <v>0</v>
      </c>
      <c r="I46" s="297" t="s">
        <v>31</v>
      </c>
      <c r="J46" s="429"/>
      <c r="K46"/>
      <c r="M46" s="156"/>
    </row>
    <row r="47" spans="1:18" s="16" customFormat="1" ht="19.899999999999999" customHeight="1" x14ac:dyDescent="0.25">
      <c r="A47" s="260"/>
      <c r="B47" s="297" t="s">
        <v>281</v>
      </c>
      <c r="C47" s="297"/>
      <c r="D47" s="437" t="s">
        <v>310</v>
      </c>
      <c r="E47" s="555">
        <f>IF(AND(E15&gt;=_Neigungswinkel_für_NB_Bund,E15&lt;=90,NOT(_Dach_Typ="Fdg")),
((E17="unk")*E26*_Modullänge_Standard*_Modulbreite_Standard
+(E16="unk")*E27*_Modullänge_Standard*_Modulbreite_Standard
+(E17="krit")*E26*_Modullänge_Blendarm*_Modulbreite_Blendarm
+(E16="krit")*E27*_Modullänge_Blendarm*_Modulbreite_Blendarm)
*_Bonus_Steil_Stadt,0)</f>
        <v>0</v>
      </c>
      <c r="F47" s="557" t="s">
        <v>31</v>
      </c>
      <c r="G47" s="514"/>
      <c r="H47" s="555">
        <f>IF(AND(E15&gt;=_Neigungswinkel_für_NB_Bund,E15&lt;=90,NOT(_Dach_Typ="Fdg")),
((E17="unk")*E29*_Modullänge_Standard*_Modulbreite_Standard
+(E16="unk")*E30*_Modullänge_Standard*_Modulbreite_Standard
+(E17="krit")*E29*_Modullänge_Blendarm*_Modulbreite_Blendarm
+(E16="krit")*E30*_Modullänge_Blendarm*_Modulbreite_Blendarm)
*_Bonus_Steil_Stadt,0)</f>
        <v>0</v>
      </c>
      <c r="I47" s="297" t="s">
        <v>31</v>
      </c>
      <c r="J47" s="429"/>
      <c r="K47"/>
      <c r="M47" s="218"/>
    </row>
    <row r="48" spans="1:18" s="16" customFormat="1" ht="19.899999999999999" customHeight="1" x14ac:dyDescent="0.25">
      <c r="A48" s="260"/>
      <c r="B48" s="297" t="s">
        <v>309</v>
      </c>
      <c r="C48" s="297"/>
      <c r="D48" s="437" t="s">
        <v>311</v>
      </c>
      <c r="E48" s="555">
        <f>IF(_Dach_Typ="Fdg",(E26*F23+E27*F24)/1000*_Bonus_Gründach_Stadt,0)</f>
        <v>0</v>
      </c>
      <c r="F48" s="557" t="s">
        <v>31</v>
      </c>
      <c r="G48" s="514"/>
      <c r="H48" s="555">
        <f>IF(_Dach_Typ="Fdg",(E29*F23+E30*F24)/1000*_Bonus_Gründach_Stadt,0)</f>
        <v>0</v>
      </c>
      <c r="I48" s="297" t="s">
        <v>31</v>
      </c>
      <c r="J48" s="429"/>
      <c r="K48"/>
    </row>
    <row r="49" spans="1:18" s="16" customFormat="1" ht="19.899999999999999" customHeight="1" x14ac:dyDescent="0.25">
      <c r="A49" s="260"/>
      <c r="B49" s="372" t="s">
        <v>282</v>
      </c>
      <c r="C49" s="372"/>
      <c r="D49" s="449" t="s">
        <v>312</v>
      </c>
      <c r="E49" s="556">
        <f>IF(E16="krit",E26*F23/1000*_Bonus_Blendarm_Stadt,0)
+IF(AND(OR(_Dach_Typ="Fd",_Dach_Typ="Fdg"),E17="krit"),F24*E27/1000*_Bonus_Blendarm_Stadt,0)</f>
        <v>0</v>
      </c>
      <c r="F49" s="558" t="s">
        <v>31</v>
      </c>
      <c r="G49" s="514"/>
      <c r="H49" s="556">
        <f>IF(E16="krit",E29*F23/1000*_Bonus_Blendarm_Stadt,0)
+IF(AND(OR(_Dach_Typ="Fd",_Dach_Typ="Fdg"),E17="krit"),F24*E30/1000*_Bonus_Blendarm_Stadt,0)</f>
        <v>0</v>
      </c>
      <c r="I49" s="372" t="s">
        <v>31</v>
      </c>
      <c r="J49" s="429"/>
      <c r="K49"/>
    </row>
    <row r="50" spans="1:18" s="150" customFormat="1" ht="21" hidden="1" thickBot="1" x14ac:dyDescent="0.35">
      <c r="A50" s="264"/>
      <c r="B50" s="230" t="s">
        <v>368</v>
      </c>
      <c r="C50" s="25"/>
      <c r="D50" s="25"/>
      <c r="E50" s="25"/>
      <c r="F50" s="25"/>
      <c r="G50" s="25"/>
      <c r="H50" s="25"/>
      <c r="I50" s="25"/>
      <c r="J50" s="25"/>
      <c r="K50" s="231"/>
      <c r="L50" s="12"/>
      <c r="N50" s="14"/>
      <c r="O50" s="14"/>
      <c r="P50" s="14"/>
      <c r="Q50" s="14"/>
      <c r="R50" s="14"/>
    </row>
    <row r="51" spans="1:18" s="21" customFormat="1" ht="19.899999999999999" hidden="1" customHeight="1" x14ac:dyDescent="0.25">
      <c r="A51" s="261"/>
      <c r="B51" s="39" t="s">
        <v>28</v>
      </c>
      <c r="C51" s="19"/>
      <c r="D51" s="19" t="str">
        <f ca="1">CONCATENATE(B1,Basisdaten!A84)</f>
        <v>Dachfläche (5)P_TF_t.Vb.</v>
      </c>
      <c r="E51" s="232">
        <f>IF(E25&lt;6,0,
IF(AND(OR(_Dach_Typ="Fd",_Dach_Typ="Fdg"),ISNUMBER(F23),ISNUMBER(F24)),(E26*F23+E27*F24)/1000,
IF(ISNUMBER(F23),(E26*F23)/1000,0)))</f>
        <v>0</v>
      </c>
      <c r="F51" s="233" t="s">
        <v>102</v>
      </c>
      <c r="G51" s="234" t="str" cm="1">
        <f t="array" ref="G51">_xlfn.IFS(E25&lt;6,"Keine Nutzungspflicht",E16="offen","Reflektion ungeklärt",E17="offen","Reflektion ungeklärt",TRUE,"")</f>
        <v>Keine Nutzungspflicht</v>
      </c>
      <c r="H51" s="234"/>
      <c r="I51" s="234"/>
      <c r="J51" s="220"/>
      <c r="K51" s="235"/>
      <c r="L51" s="16"/>
    </row>
    <row r="52" spans="1:18" s="21" customFormat="1" ht="19.899999999999999" hidden="1" customHeight="1" x14ac:dyDescent="0.25">
      <c r="A52" s="261"/>
      <c r="B52" s="48" t="s">
        <v>357</v>
      </c>
      <c r="C52" s="27"/>
      <c r="D52" s="27"/>
      <c r="E52" s="49">
        <f>IF(E51&gt;0,VLOOKUP(D51,Basisdaten!C:E,3,FALSE),0)</f>
        <v>0</v>
      </c>
      <c r="F52" s="26" t="s">
        <v>52</v>
      </c>
      <c r="G52" s="223"/>
      <c r="H52" s="223"/>
      <c r="I52" s="223"/>
      <c r="J52" s="27"/>
      <c r="K52" s="224"/>
      <c r="L52" s="16"/>
    </row>
    <row r="53" spans="1:18" s="21" customFormat="1" ht="19.899999999999999" hidden="1" customHeight="1" x14ac:dyDescent="0.25">
      <c r="A53" s="261"/>
      <c r="B53" s="20" t="s">
        <v>29</v>
      </c>
      <c r="C53" s="17"/>
      <c r="D53" s="17"/>
      <c r="E53" s="24">
        <f>IF(E51&gt;0,E51*VLOOKUP(D51,Basisdaten!C:E,3,FALSE),0)</f>
        <v>0</v>
      </c>
      <c r="F53" s="22" t="s">
        <v>31</v>
      </c>
      <c r="G53" s="37"/>
      <c r="H53" s="37"/>
      <c r="I53" s="37"/>
      <c r="J53" s="17"/>
      <c r="K53" s="23"/>
      <c r="L53" s="16"/>
    </row>
    <row r="54" spans="1:18" s="21" customFormat="1" ht="19.899999999999999" hidden="1" customHeight="1" x14ac:dyDescent="0.25">
      <c r="A54" s="261"/>
      <c r="B54" s="20" t="s">
        <v>264</v>
      </c>
      <c r="C54" s="17"/>
      <c r="D54" s="17"/>
      <c r="E54" s="24">
        <f>IF(E16="krit",E26*_Aufpreis_Blendarm,0)
+IF(E17="krit",E27*_Aufpreis_Blendarm,0)</f>
        <v>0</v>
      </c>
      <c r="F54" s="22" t="s">
        <v>31</v>
      </c>
      <c r="G54" s="37"/>
      <c r="H54" s="37"/>
      <c r="I54" s="37"/>
      <c r="J54" s="17"/>
      <c r="K54" s="23"/>
      <c r="L54" s="16"/>
    </row>
    <row r="55" spans="1:18" s="21" customFormat="1" ht="19.899999999999999" hidden="1" customHeight="1" x14ac:dyDescent="0.25">
      <c r="A55" s="261"/>
      <c r="B55" s="20" t="s">
        <v>253</v>
      </c>
      <c r="C55" s="17"/>
      <c r="D55" s="17"/>
      <c r="E55" s="24">
        <f>IF(E51&gt;0,-SUM(E44:E49),0)</f>
        <v>0</v>
      </c>
      <c r="F55" s="22" t="s">
        <v>31</v>
      </c>
      <c r="G55" s="37"/>
      <c r="H55" s="37"/>
      <c r="I55" s="37"/>
      <c r="J55" s="17"/>
      <c r="K55" s="23"/>
      <c r="L55" s="16"/>
    </row>
    <row r="56" spans="1:18" s="21" customFormat="1" ht="19.899999999999999" hidden="1" customHeight="1" x14ac:dyDescent="0.25">
      <c r="A56" s="261"/>
      <c r="B56" s="20" t="s">
        <v>196</v>
      </c>
      <c r="C56" s="17"/>
      <c r="D56" s="17"/>
      <c r="E56" s="24">
        <f>SUM(E53:E55)</f>
        <v>0</v>
      </c>
      <c r="F56" s="22" t="s">
        <v>31</v>
      </c>
      <c r="G56" s="37"/>
      <c r="H56" s="37"/>
      <c r="I56" s="37"/>
      <c r="J56" s="17"/>
      <c r="K56" s="23"/>
      <c r="L56" s="16"/>
    </row>
    <row r="57" spans="1:18" s="21" customFormat="1" ht="19.899999999999999" hidden="1" customHeight="1" thickBot="1" x14ac:dyDescent="0.3">
      <c r="A57" s="261"/>
      <c r="B57" s="236" t="s">
        <v>367</v>
      </c>
      <c r="C57" s="28"/>
      <c r="D57" s="28" t="s">
        <v>349</v>
      </c>
      <c r="E57" s="237">
        <f>IFERROR(E56/(E40*E51)*100/25,0)</f>
        <v>0</v>
      </c>
      <c r="F57" s="157" t="s">
        <v>32</v>
      </c>
      <c r="G57" s="28" t="s">
        <v>294</v>
      </c>
      <c r="H57" s="238"/>
      <c r="I57" s="238"/>
      <c r="J57" s="28"/>
      <c r="K57" s="239"/>
      <c r="L57" s="16"/>
      <c r="M57" s="240"/>
    </row>
    <row r="58" spans="1:18" s="14" customFormat="1" ht="12.75" hidden="1" x14ac:dyDescent="0.2">
      <c r="A58" s="262"/>
      <c r="L58"/>
    </row>
    <row r="59" spans="1:18" s="150" customFormat="1" ht="21" hidden="1" thickBot="1" x14ac:dyDescent="0.35">
      <c r="A59" s="264"/>
      <c r="B59" s="230" t="s">
        <v>362</v>
      </c>
      <c r="C59" s="25"/>
      <c r="D59" s="25"/>
      <c r="E59" s="25"/>
      <c r="F59" s="25"/>
      <c r="G59" s="25"/>
      <c r="H59" s="25"/>
      <c r="I59" s="25"/>
      <c r="J59" s="25"/>
      <c r="K59" s="231"/>
      <c r="L59" s="12"/>
      <c r="N59" s="14"/>
      <c r="O59" s="14"/>
      <c r="P59" s="14"/>
      <c r="Q59" s="14"/>
      <c r="R59" s="14"/>
    </row>
    <row r="60" spans="1:18" s="21" customFormat="1" ht="19.899999999999999" hidden="1" customHeight="1" x14ac:dyDescent="0.25">
      <c r="A60" s="261"/>
      <c r="B60" s="39" t="s">
        <v>28</v>
      </c>
      <c r="C60" s="19"/>
      <c r="D60" s="19" t="str">
        <f ca="1">CONCATENATE(B1,Basisdaten!A99)</f>
        <v>Dachfläche (5)P_TF_g.Min.</v>
      </c>
      <c r="E60" s="232">
        <f>IF(E28&lt;6,0,
IF(AND(OR(_Dach_Typ="Fd",_Dach_Typ="Fdg"),ISNUMBER(F23),ISNUMBER(F24)),(E29*F23+E30*F24)/1000,
IF(ISNUMBER(F23),(E29*F23)/1000,0)))</f>
        <v>0</v>
      </c>
      <c r="F60" s="241" t="s">
        <v>102</v>
      </c>
      <c r="G60" s="19" t="str" cm="1">
        <f t="array" ref="G60">_xlfn.IFS(E28&lt;6,"Keine Nutzungspflicht",E16="offen","Reflektion ungeklärt",E17="offen","Reflektion ungeklärt",TRUE,"")</f>
        <v>Keine Nutzungspflicht</v>
      </c>
      <c r="H60" s="232"/>
      <c r="I60" s="241"/>
      <c r="J60" s="19"/>
      <c r="K60" s="242"/>
      <c r="L60" s="16"/>
    </row>
    <row r="61" spans="1:18" s="21" customFormat="1" ht="19.899999999999999" hidden="1" customHeight="1" x14ac:dyDescent="0.25">
      <c r="A61" s="261"/>
      <c r="B61" s="20" t="s">
        <v>357</v>
      </c>
      <c r="C61" s="17"/>
      <c r="D61" s="17"/>
      <c r="E61" s="24">
        <f>IF(E60&gt;0,VLOOKUP(D60,Basisdaten!C:E,3,FALSE),0)</f>
        <v>0</v>
      </c>
      <c r="F61" s="22" t="s">
        <v>31</v>
      </c>
      <c r="G61" s="17"/>
      <c r="H61" s="24"/>
      <c r="I61" s="22"/>
      <c r="J61" s="17"/>
      <c r="K61" s="23"/>
      <c r="L61" s="16"/>
    </row>
    <row r="62" spans="1:18" s="21" customFormat="1" ht="19.899999999999999" hidden="1" customHeight="1" x14ac:dyDescent="0.25">
      <c r="A62" s="261"/>
      <c r="B62" s="20" t="s">
        <v>29</v>
      </c>
      <c r="C62" s="17"/>
      <c r="D62" s="17"/>
      <c r="E62" s="24">
        <f>IF(E60&gt;0,E60*VLOOKUP(D60,Basisdaten!C:E,3,FALSE),0)</f>
        <v>0</v>
      </c>
      <c r="F62" s="22" t="s">
        <v>31</v>
      </c>
      <c r="G62" s="17"/>
      <c r="H62" s="24"/>
      <c r="I62" s="22"/>
      <c r="J62" s="17"/>
      <c r="K62" s="23"/>
      <c r="L62" s="16"/>
    </row>
    <row r="63" spans="1:18" s="21" customFormat="1" ht="19.899999999999999" hidden="1" customHeight="1" x14ac:dyDescent="0.25">
      <c r="A63" s="261"/>
      <c r="B63" s="20" t="s">
        <v>264</v>
      </c>
      <c r="C63" s="17"/>
      <c r="D63" s="17"/>
      <c r="E63" s="24">
        <f>IF(E16="krit",E29*_Aufpreis_Blendarm,0)
+IF(E17="krit",E30*_Aufpreis_Blendarm,0)</f>
        <v>0</v>
      </c>
      <c r="F63" s="22" t="s">
        <v>31</v>
      </c>
      <c r="G63" s="17"/>
      <c r="H63" s="24"/>
      <c r="I63" s="22"/>
      <c r="J63" s="17"/>
      <c r="K63" s="23"/>
      <c r="L63" s="16"/>
    </row>
    <row r="64" spans="1:18" s="21" customFormat="1" ht="19.899999999999999" hidden="1" customHeight="1" x14ac:dyDescent="0.25">
      <c r="A64" s="261"/>
      <c r="B64" s="20" t="s">
        <v>253</v>
      </c>
      <c r="C64" s="17"/>
      <c r="D64" s="17"/>
      <c r="E64" s="24">
        <f>IF(E60&gt;0,-SUM(H44:H49),0)</f>
        <v>0</v>
      </c>
      <c r="F64" s="22" t="s">
        <v>31</v>
      </c>
      <c r="G64" s="17"/>
      <c r="H64" s="24"/>
      <c r="I64" s="22"/>
      <c r="J64" s="17"/>
      <c r="K64" s="23"/>
      <c r="L64" s="16"/>
    </row>
    <row r="65" spans="1:18" s="21" customFormat="1" ht="19.899999999999999" hidden="1" customHeight="1" x14ac:dyDescent="0.25">
      <c r="A65" s="261"/>
      <c r="B65" s="20" t="s">
        <v>196</v>
      </c>
      <c r="C65" s="17"/>
      <c r="D65" s="17"/>
      <c r="E65" s="24">
        <f>SUM(E62:E64)</f>
        <v>0</v>
      </c>
      <c r="F65" s="22" t="s">
        <v>31</v>
      </c>
      <c r="G65" s="17"/>
      <c r="H65" s="24"/>
      <c r="I65" s="22"/>
      <c r="J65" s="17"/>
      <c r="K65" s="23"/>
      <c r="L65" s="16"/>
    </row>
    <row r="66" spans="1:18" s="21" customFormat="1" ht="19.899999999999999" hidden="1" customHeight="1" thickBot="1" x14ac:dyDescent="0.3">
      <c r="A66" s="261"/>
      <c r="B66" s="236" t="s">
        <v>367</v>
      </c>
      <c r="C66" s="28"/>
      <c r="D66" s="28" t="s">
        <v>350</v>
      </c>
      <c r="E66" s="237">
        <f>IFERROR(E65/(E40*E60)*100/25,0)</f>
        <v>0</v>
      </c>
      <c r="F66" s="157" t="s">
        <v>32</v>
      </c>
      <c r="G66" s="28" t="s">
        <v>294</v>
      </c>
      <c r="H66" s="237"/>
      <c r="I66" s="157"/>
      <c r="J66" s="28"/>
      <c r="K66" s="239"/>
      <c r="L66" s="16"/>
    </row>
    <row r="67" spans="1:18" s="14" customFormat="1" ht="12.75" hidden="1" x14ac:dyDescent="0.2">
      <c r="A67" s="262"/>
      <c r="L67"/>
    </row>
    <row r="68" spans="1:18" ht="12.75" x14ac:dyDescent="0.2">
      <c r="D68"/>
    </row>
    <row r="69" spans="1:18" s="12" customFormat="1" ht="20.25" x14ac:dyDescent="0.3">
      <c r="A69" s="259"/>
      <c r="B69" s="679" t="str">
        <f ca="1">"Dachaufbauten "&amp;MID(CELL("dateiname",B2),SEARCH("]",CELL("dateiname",B2))+1,31)</f>
        <v>Dachaufbauten Dachfläche (5)</v>
      </c>
      <c r="C69" s="679"/>
      <c r="D69" s="679"/>
      <c r="E69" s="679"/>
      <c r="N69"/>
      <c r="O69"/>
      <c r="P69"/>
      <c r="Q69"/>
      <c r="R69"/>
    </row>
    <row r="70" spans="1:18" s="14" customFormat="1" ht="12.75" hidden="1" x14ac:dyDescent="0.2">
      <c r="A70" s="262"/>
      <c r="B70" s="29"/>
      <c r="D70" s="14" t="s">
        <v>71</v>
      </c>
      <c r="F70" s="14">
        <v>-90</v>
      </c>
      <c r="G70" s="14">
        <v>-180</v>
      </c>
      <c r="H70" s="14">
        <v>90</v>
      </c>
      <c r="K70" s="30"/>
      <c r="L70"/>
    </row>
    <row r="71" spans="1:18" s="14" customFormat="1" ht="12.75" hidden="1" x14ac:dyDescent="0.2">
      <c r="A71" s="262"/>
      <c r="B71" s="29"/>
      <c r="D71" s="14" t="s">
        <v>60</v>
      </c>
      <c r="F71" s="31">
        <f>RADIANS(F70)</f>
        <v>-1.5707963267948966</v>
      </c>
      <c r="G71" s="31">
        <f t="shared" ref="G71:H71" si="1">RADIANS(G70)</f>
        <v>-3.1415926535897931</v>
      </c>
      <c r="H71" s="31">
        <f t="shared" si="1"/>
        <v>1.5707963267948966</v>
      </c>
      <c r="K71" s="30"/>
      <c r="L71"/>
    </row>
    <row r="72" spans="1:18" s="14" customFormat="1" ht="12.75" hidden="1" x14ac:dyDescent="0.2">
      <c r="A72" s="262"/>
      <c r="B72" s="29"/>
      <c r="D72" s="14" t="s">
        <v>61</v>
      </c>
      <c r="F72" s="14">
        <v>1</v>
      </c>
      <c r="G72" s="14">
        <v>3</v>
      </c>
      <c r="H72" s="14">
        <v>1</v>
      </c>
      <c r="K72" s="30"/>
      <c r="L72"/>
    </row>
    <row r="73" spans="1:18" s="14" customFormat="1" ht="12.75" hidden="1" x14ac:dyDescent="0.2">
      <c r="A73" s="262"/>
      <c r="B73" s="29"/>
      <c r="D73" s="14" t="s">
        <v>72</v>
      </c>
      <c r="F73" s="32">
        <f>$F$72*SIN(ATAN(1/$F$72))/SIN(ASIN(SIN($E$19)*COS($F$71-PI()+$E$18))+ATAN(1/$F$72))</f>
        <v>1</v>
      </c>
      <c r="G73" s="32">
        <f>$G$72*SIN(ATAN(1/$G$72))/SIN(ASIN(SIN(-$E$19)*COS($G$71-PI()+$E$18))+ATAN(1/$G$72))</f>
        <v>3</v>
      </c>
      <c r="H73" s="32">
        <f>$H$72*SIN(ATAN(1/$H$72))/SIN(ASIN(SIN($E$19)*COS($H$71-PI()+$E$18))+ATAN(1/$H$72))</f>
        <v>1</v>
      </c>
      <c r="K73" s="30"/>
      <c r="L73"/>
    </row>
    <row r="74" spans="1:18" s="14" customFormat="1" ht="12.75" hidden="1" x14ac:dyDescent="0.2">
      <c r="A74" s="262"/>
      <c r="B74" s="29"/>
      <c r="D74" s="14" t="s">
        <v>63</v>
      </c>
      <c r="F74" s="31">
        <f>ASIN(SIN($E$19)*COS(F71-$E$18))</f>
        <v>0</v>
      </c>
      <c r="G74" s="31">
        <f>ASIN(SIN($E$19)*COS(G71-$E$18))</f>
        <v>0</v>
      </c>
      <c r="H74" s="31">
        <f>ASIN(SIN($E$19)*COS(H71-$E$18))</f>
        <v>0</v>
      </c>
      <c r="K74" s="30"/>
      <c r="L74"/>
    </row>
    <row r="75" spans="1:18" s="14" customFormat="1" ht="12.75" hidden="1" x14ac:dyDescent="0.2">
      <c r="A75" s="262"/>
      <c r="B75" s="29"/>
      <c r="D75" s="14" t="s">
        <v>64</v>
      </c>
      <c r="F75" s="33">
        <f>F74*180/PI()</f>
        <v>0</v>
      </c>
      <c r="G75" s="33">
        <f t="shared" ref="G75:H75" si="2">G74*180/PI()</f>
        <v>0</v>
      </c>
      <c r="H75" s="33">
        <f t="shared" si="2"/>
        <v>0</v>
      </c>
      <c r="K75" s="30"/>
      <c r="L75"/>
    </row>
    <row r="76" spans="1:18" s="51" customFormat="1" ht="60" customHeight="1" x14ac:dyDescent="0.2">
      <c r="A76" s="265"/>
      <c r="B76" s="601" t="str">
        <f>_xlfn._LONGTEXT("Zu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f>
        <v>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v>
      </c>
      <c r="C76" s="601"/>
      <c r="D76" s="601"/>
      <c r="E76" s="601"/>
      <c r="F76" s="601"/>
      <c r="G76" s="601"/>
      <c r="H76" s="601"/>
      <c r="I76" s="601"/>
      <c r="J76" s="140"/>
      <c r="K76" s="140"/>
    </row>
    <row r="77" spans="1:18" s="16" customFormat="1" ht="19.899999999999999" customHeight="1" x14ac:dyDescent="0.25">
      <c r="A77" s="260"/>
      <c r="B77" s="428"/>
      <c r="C77" s="514"/>
      <c r="D77" s="559"/>
      <c r="E77" s="560"/>
      <c r="F77" s="717" t="s">
        <v>74</v>
      </c>
      <c r="G77" s="717"/>
      <c r="H77" s="717"/>
      <c r="I77"/>
      <c r="J77"/>
      <c r="K77"/>
    </row>
    <row r="78" spans="1:18" s="16" customFormat="1" ht="19.899999999999999" customHeight="1" x14ac:dyDescent="0.25">
      <c r="A78" s="260"/>
      <c r="B78" s="428" t="s">
        <v>78</v>
      </c>
      <c r="C78" s="514" t="s">
        <v>20</v>
      </c>
      <c r="D78" s="559"/>
      <c r="E78" s="562" t="s">
        <v>94</v>
      </c>
      <c r="F78" s="561" t="s">
        <v>75</v>
      </c>
      <c r="G78" s="561" t="s">
        <v>76</v>
      </c>
      <c r="H78" s="561" t="s">
        <v>77</v>
      </c>
      <c r="I78"/>
      <c r="J78"/>
      <c r="K78"/>
    </row>
    <row r="79" spans="1:18" s="16" customFormat="1" ht="19.899999999999999" customHeight="1" x14ac:dyDescent="0.25">
      <c r="A79" s="260"/>
      <c r="B79" s="563" t="s">
        <v>79</v>
      </c>
      <c r="C79" s="564"/>
      <c r="D79" s="565"/>
      <c r="E79" s="566" t="s">
        <v>73</v>
      </c>
      <c r="F79" s="566" t="s">
        <v>73</v>
      </c>
      <c r="G79" s="566" t="s">
        <v>73</v>
      </c>
      <c r="H79" s="566" t="s">
        <v>73</v>
      </c>
      <c r="I79" s="295"/>
      <c r="J79" s="295"/>
      <c r="K79" s="295"/>
    </row>
    <row r="80" spans="1:18" s="16" customFormat="1" ht="19.899999999999999" customHeight="1" x14ac:dyDescent="0.25">
      <c r="A80" s="260"/>
      <c r="B80" s="503">
        <v>1</v>
      </c>
      <c r="C80" s="567"/>
      <c r="D80" s="568"/>
      <c r="E80" s="569"/>
      <c r="F80" s="570" t="str">
        <f>IF(ISNUMBER($E80),$E80*IF($F$73&gt;0,MIN($F$72:$F$73),MAX($F$72:$F$73)),"")</f>
        <v/>
      </c>
      <c r="G80" s="570" t="str">
        <f>IF(ISNUMBER($E80),$E80*IF($G$73&gt;0,MIN($G$72:$G$73),MAX($G$72:$G$73)),"")</f>
        <v/>
      </c>
      <c r="H80" s="570" t="str">
        <f>IF(ISNUMBER($E80),$E80*IF($H$73&gt;0,MIN($H$72:$H$73),MAX($H$72:$H$73)),"")</f>
        <v/>
      </c>
      <c r="I80" s="303"/>
      <c r="J80" s="303"/>
      <c r="K80" s="303"/>
    </row>
    <row r="81" spans="1:11" s="16" customFormat="1" ht="19.899999999999999" customHeight="1" x14ac:dyDescent="0.25">
      <c r="A81" s="260"/>
      <c r="B81" s="505">
        <v>2</v>
      </c>
      <c r="C81" s="571"/>
      <c r="D81" s="572"/>
      <c r="E81" s="573"/>
      <c r="F81" s="574" t="str">
        <f>IF(ISNUMBER($E81),$E81*IF($F$73&gt;0,MIN($F$72:$F$73),MAX($F$72:$F$73)),"")</f>
        <v/>
      </c>
      <c r="G81" s="574" t="str">
        <f>IF(ISNUMBER($E81),$E81*IF($G$73&gt;0,MIN($G$72:$G$73),MAX($G$72:$G$73)),"")</f>
        <v/>
      </c>
      <c r="H81" s="574" t="str">
        <f>IF(ISNUMBER($E81),$E81*IF($H$73&gt;0,MIN($H$72:$H$73),MAX($H$72:$H$73)),"")</f>
        <v/>
      </c>
      <c r="I81" s="297"/>
      <c r="J81" s="297"/>
      <c r="K81" s="297"/>
    </row>
    <row r="82" spans="1:11" s="16" customFormat="1" ht="19.899999999999999" customHeight="1" x14ac:dyDescent="0.25">
      <c r="A82" s="260"/>
      <c r="B82" s="505">
        <v>3</v>
      </c>
      <c r="C82" s="571"/>
      <c r="D82" s="572"/>
      <c r="E82" s="573"/>
      <c r="F82" s="574" t="str">
        <f>IF(ISNUMBER($E82),$E82*IF($F$73&gt;0,MIN($F$72:$F$73),MAX($F$72:$F$73)),"")</f>
        <v/>
      </c>
      <c r="G82" s="574" t="str">
        <f>IF(ISNUMBER($E82),$E82*IF($G$73&gt;0,MIN($G$72:$G$73),MAX($G$72:$G$73)),"")</f>
        <v/>
      </c>
      <c r="H82" s="574" t="str">
        <f>IF(ISNUMBER($E82),$E82*IF($H$73&gt;0,MIN($H$72:$H$73),MAX($H$72:$H$73)),"")</f>
        <v/>
      </c>
      <c r="I82" s="297"/>
      <c r="J82" s="297"/>
      <c r="K82" s="297"/>
    </row>
    <row r="83" spans="1:11" s="16" customFormat="1" ht="19.899999999999999" customHeight="1" x14ac:dyDescent="0.25">
      <c r="A83" s="260"/>
      <c r="B83" s="505">
        <v>4</v>
      </c>
      <c r="C83" s="571"/>
      <c r="D83" s="572"/>
      <c r="E83" s="573"/>
      <c r="F83" s="574" t="str">
        <f>IF(ISNUMBER($E83),$E83*IF($F$73&gt;0,MIN($F$72:$F$73),MAX($F$72:$F$73)),"")</f>
        <v/>
      </c>
      <c r="G83" s="574" t="str">
        <f>IF(ISNUMBER($E83),$E83*IF($G$73&gt;0,MIN($G$72:$G$73),MAX($G$72:$G$73)),"")</f>
        <v/>
      </c>
      <c r="H83" s="574" t="str">
        <f>IF(ISNUMBER($E83),$E83*IF($H$73&gt;0,MIN($H$72:$H$73),MAX($H$72:$H$73)),"")</f>
        <v/>
      </c>
      <c r="I83" s="297"/>
      <c r="J83" s="297"/>
      <c r="K83" s="297"/>
    </row>
    <row r="84" spans="1:11" s="16" customFormat="1" ht="19.899999999999999" customHeight="1" x14ac:dyDescent="0.25">
      <c r="A84" s="260"/>
      <c r="B84" s="505">
        <v>5</v>
      </c>
      <c r="C84" s="571"/>
      <c r="D84" s="572"/>
      <c r="E84" s="573"/>
      <c r="F84" s="574" t="str">
        <f>IF(ISNUMBER($E84),$E84*IF($F$73&gt;0,MIN($F$72:$F$73),MAX($F$72:$F$73)),"")</f>
        <v/>
      </c>
      <c r="G84" s="574" t="str">
        <f>IF(ISNUMBER($E84),$E84*IF($G$73&gt;0,MIN($G$72:$G$73),MAX($G$72:$G$73)),"")</f>
        <v/>
      </c>
      <c r="H84" s="574" t="str">
        <f>IF(ISNUMBER($E84),$E84*IF($H$73&gt;0,MIN($H$72:$H$73),MAX($H$72:$H$73)),"")</f>
        <v/>
      </c>
      <c r="I84" s="297"/>
      <c r="J84" s="297"/>
      <c r="K84" s="297"/>
    </row>
    <row r="85" spans="1:11" ht="12.75" x14ac:dyDescent="0.2"/>
    <row r="86" spans="1:11" ht="12.75" x14ac:dyDescent="0.2"/>
    <row r="87" spans="1:11" ht="12.75" x14ac:dyDescent="0.2"/>
    <row r="88" spans="1:11" ht="15" customHeight="1" x14ac:dyDescent="0.2"/>
    <row r="89" spans="1:11" ht="15" customHeight="1" x14ac:dyDescent="0.2"/>
    <row r="90" spans="1:11" ht="15" customHeight="1" x14ac:dyDescent="0.2"/>
    <row r="91" spans="1:11" ht="15" hidden="1" customHeight="1" x14ac:dyDescent="0.2"/>
    <row r="92" spans="1:11" ht="15" hidden="1" customHeight="1" x14ac:dyDescent="0.2"/>
    <row r="93" spans="1:11" ht="15" hidden="1" customHeight="1" x14ac:dyDescent="0.2"/>
    <row r="94" spans="1:11" ht="14.1" hidden="1" customHeight="1" x14ac:dyDescent="0.2"/>
    <row r="95" spans="1:11" ht="14.1" hidden="1" customHeight="1" x14ac:dyDescent="0.2"/>
    <row r="96" spans="1:11" ht="14.1" hidden="1" customHeight="1" x14ac:dyDescent="0.2"/>
    <row r="97" ht="14.1" hidden="1" customHeight="1" x14ac:dyDescent="0.2"/>
    <row r="98" ht="14.1" hidden="1" customHeight="1" x14ac:dyDescent="0.2"/>
    <row r="99" ht="14.1" hidden="1" customHeight="1" x14ac:dyDescent="0.2"/>
    <row r="100" ht="14.1" hidden="1" customHeight="1" x14ac:dyDescent="0.2"/>
    <row r="101" ht="14.1" hidden="1" customHeight="1" x14ac:dyDescent="0.2"/>
    <row r="102" ht="14.1" hidden="1" customHeight="1" x14ac:dyDescent="0.2"/>
    <row r="103" ht="14.1" hidden="1" customHeight="1" x14ac:dyDescent="0.2"/>
    <row r="104" ht="14.1" hidden="1" customHeight="1" x14ac:dyDescent="0.2"/>
    <row r="105" ht="14.1" hidden="1" customHeight="1" x14ac:dyDescent="0.2"/>
    <row r="106" ht="14.1" hidden="1" customHeight="1" x14ac:dyDescent="0.2"/>
    <row r="107" ht="14.1" hidden="1" customHeight="1" x14ac:dyDescent="0.2"/>
    <row r="108" ht="14.1" hidden="1" customHeight="1" x14ac:dyDescent="0.2"/>
    <row r="109" ht="14.1" hidden="1" customHeight="1" x14ac:dyDescent="0.2"/>
    <row r="110" ht="14.1" hidden="1" customHeight="1" x14ac:dyDescent="0.2"/>
    <row r="111" ht="14.1" hidden="1" customHeight="1" x14ac:dyDescent="0.2"/>
    <row r="112" ht="14.1" hidden="1" customHeight="1" x14ac:dyDescent="0.2"/>
    <row r="113" ht="14.1" hidden="1" customHeight="1" x14ac:dyDescent="0.2"/>
    <row r="114" ht="14.1" hidden="1" customHeight="1" x14ac:dyDescent="0.2"/>
    <row r="115" ht="14.1" hidden="1" customHeight="1" x14ac:dyDescent="0.2"/>
    <row r="116" ht="14.1" hidden="1" customHeight="1" x14ac:dyDescent="0.2"/>
    <row r="117" ht="14.1" hidden="1" customHeight="1" x14ac:dyDescent="0.2"/>
    <row r="118" ht="14.1" hidden="1" customHeight="1" x14ac:dyDescent="0.2"/>
    <row r="119" ht="14.1" hidden="1" customHeight="1" x14ac:dyDescent="0.2"/>
    <row r="120" ht="14.1" hidden="1" customHeight="1" x14ac:dyDescent="0.2"/>
    <row r="121" ht="14.1" hidden="1" customHeight="1" x14ac:dyDescent="0.2"/>
    <row r="122" ht="14.1" hidden="1" customHeight="1" x14ac:dyDescent="0.2"/>
    <row r="123" ht="14.1" hidden="1" customHeight="1" x14ac:dyDescent="0.2"/>
    <row r="124" ht="14.1" hidden="1" customHeight="1" x14ac:dyDescent="0.2"/>
    <row r="125" ht="14.1" hidden="1" customHeight="1" x14ac:dyDescent="0.2"/>
    <row r="126" ht="14.1" hidden="1" customHeight="1" x14ac:dyDescent="0.2"/>
    <row r="127" ht="14.1" hidden="1" customHeight="1" x14ac:dyDescent="0.2"/>
    <row r="128" ht="14.1" hidden="1" customHeight="1" x14ac:dyDescent="0.2"/>
    <row r="129" ht="14.1" hidden="1" customHeight="1" x14ac:dyDescent="0.2"/>
    <row r="130" ht="14.1" hidden="1" customHeight="1" x14ac:dyDescent="0.2"/>
    <row r="131" ht="14.1" hidden="1" customHeight="1" x14ac:dyDescent="0.2"/>
    <row r="132" ht="14.1" hidden="1" customHeight="1" x14ac:dyDescent="0.2"/>
    <row r="133" ht="14.1" hidden="1" customHeight="1" x14ac:dyDescent="0.2"/>
    <row r="134" ht="14.1" hidden="1" customHeight="1" x14ac:dyDescent="0.2"/>
    <row r="135" ht="14.1" hidden="1" customHeight="1" x14ac:dyDescent="0.2"/>
    <row r="136" ht="14.1" hidden="1" customHeight="1" x14ac:dyDescent="0.2"/>
    <row r="137" ht="14.1" hidden="1" customHeight="1" x14ac:dyDescent="0.2"/>
    <row r="138" ht="14.1" hidden="1" customHeight="1" x14ac:dyDescent="0.2"/>
    <row r="139" ht="14.1" hidden="1" customHeight="1" x14ac:dyDescent="0.2"/>
    <row r="140" ht="14.1" hidden="1" customHeight="1" x14ac:dyDescent="0.2"/>
    <row r="141" ht="14.1" hidden="1" customHeight="1" x14ac:dyDescent="0.2"/>
    <row r="142" ht="14.1" hidden="1" customHeight="1" x14ac:dyDescent="0.2"/>
    <row r="143" ht="14.1" hidden="1" customHeight="1" x14ac:dyDescent="0.2"/>
    <row r="144" ht="14.1" hidden="1" customHeight="1" x14ac:dyDescent="0.2"/>
    <row r="145" ht="14.1" hidden="1" customHeight="1" x14ac:dyDescent="0.2"/>
    <row r="146" ht="14.1" hidden="1" customHeight="1" x14ac:dyDescent="0.2"/>
    <row r="147" ht="14.1" hidden="1" customHeight="1" x14ac:dyDescent="0.2"/>
    <row r="148" ht="14.1" hidden="1" customHeight="1" x14ac:dyDescent="0.2"/>
    <row r="149" ht="14.1" hidden="1" customHeight="1" x14ac:dyDescent="0.2"/>
    <row r="150" ht="14.1" hidden="1" customHeight="1" x14ac:dyDescent="0.2"/>
    <row r="151" ht="14.1" hidden="1" customHeight="1" x14ac:dyDescent="0.2"/>
    <row r="152" ht="14.1" hidden="1" customHeight="1" x14ac:dyDescent="0.2"/>
    <row r="153" ht="14.1" hidden="1" customHeight="1" x14ac:dyDescent="0.2"/>
    <row r="154" ht="14.1" hidden="1" customHeight="1" x14ac:dyDescent="0.2"/>
    <row r="155" ht="14.1" hidden="1" customHeight="1" x14ac:dyDescent="0.2"/>
    <row r="156" ht="14.1" hidden="1" customHeight="1" x14ac:dyDescent="0.2"/>
    <row r="157" ht="14.1" hidden="1" customHeight="1" x14ac:dyDescent="0.2"/>
    <row r="158" ht="14.1" hidden="1" customHeight="1" x14ac:dyDescent="0.2"/>
    <row r="159" ht="14.1" hidden="1" customHeight="1" x14ac:dyDescent="0.2"/>
    <row r="160" ht="14.1" hidden="1" customHeight="1" x14ac:dyDescent="0.2"/>
    <row r="161" ht="14.1" hidden="1" customHeight="1" x14ac:dyDescent="0.2"/>
    <row r="162" ht="14.1" hidden="1" customHeight="1" x14ac:dyDescent="0.2"/>
    <row r="163" ht="14.1" hidden="1" customHeight="1" x14ac:dyDescent="0.2"/>
    <row r="164" ht="14.1" hidden="1" customHeight="1" x14ac:dyDescent="0.2"/>
    <row r="165" ht="14.1" hidden="1" customHeight="1" x14ac:dyDescent="0.2"/>
    <row r="166" ht="14.1" hidden="1" customHeight="1" x14ac:dyDescent="0.2"/>
    <row r="167" ht="14.1" hidden="1" customHeight="1" x14ac:dyDescent="0.2"/>
    <row r="168" ht="14.1" hidden="1" customHeight="1" x14ac:dyDescent="0.2"/>
    <row r="169" ht="14.1" hidden="1" customHeight="1" x14ac:dyDescent="0.2"/>
    <row r="170" ht="14.1" hidden="1" customHeight="1" x14ac:dyDescent="0.2"/>
    <row r="171" ht="14.1" hidden="1" customHeight="1" x14ac:dyDescent="0.2"/>
    <row r="172" ht="14.1" hidden="1" customHeight="1" x14ac:dyDescent="0.2"/>
    <row r="173" ht="14.1" hidden="1" customHeight="1" x14ac:dyDescent="0.2"/>
    <row r="174" ht="14.1" hidden="1" customHeight="1" x14ac:dyDescent="0.2"/>
    <row r="175" ht="14.1" hidden="1" customHeight="1" x14ac:dyDescent="0.2"/>
    <row r="176" ht="14.1" hidden="1" customHeight="1" x14ac:dyDescent="0.2"/>
    <row r="177" ht="14.1" hidden="1" customHeight="1" x14ac:dyDescent="0.2"/>
    <row r="178" ht="14.1" hidden="1" customHeight="1" x14ac:dyDescent="0.2"/>
    <row r="179" ht="14.1" hidden="1" customHeight="1" x14ac:dyDescent="0.2"/>
    <row r="180" ht="14.1" hidden="1" customHeight="1" x14ac:dyDescent="0.2"/>
    <row r="181" ht="14.1" hidden="1" customHeight="1" x14ac:dyDescent="0.2"/>
    <row r="182" ht="14.1" hidden="1" customHeight="1" x14ac:dyDescent="0.2"/>
    <row r="183" ht="14.1" hidden="1" customHeight="1" x14ac:dyDescent="0.2"/>
    <row r="184" ht="14.1" hidden="1" customHeight="1" x14ac:dyDescent="0.2"/>
    <row r="185" ht="14.1" hidden="1" customHeight="1" x14ac:dyDescent="0.2"/>
    <row r="186" ht="14.1" hidden="1" customHeight="1" x14ac:dyDescent="0.2"/>
    <row r="187" ht="14.1" hidden="1" customHeight="1" x14ac:dyDescent="0.2"/>
    <row r="188" ht="14.1" hidden="1" customHeight="1" x14ac:dyDescent="0.2"/>
    <row r="189" ht="14.1" hidden="1" customHeight="1" x14ac:dyDescent="0.2"/>
    <row r="190" ht="14.1" hidden="1" customHeight="1" x14ac:dyDescent="0.2"/>
    <row r="191" ht="14.1" hidden="1" customHeight="1" x14ac:dyDescent="0.2"/>
    <row r="192" ht="14.1" hidden="1" customHeight="1" x14ac:dyDescent="0.2"/>
    <row r="193" ht="14.1" hidden="1" customHeight="1" x14ac:dyDescent="0.2"/>
    <row r="194" ht="14.1" hidden="1" customHeight="1" x14ac:dyDescent="0.2"/>
    <row r="195" ht="14.1" hidden="1" customHeight="1" x14ac:dyDescent="0.2"/>
    <row r="196" ht="14.1" hidden="1" customHeight="1" x14ac:dyDescent="0.2"/>
    <row r="197" ht="14.1" hidden="1" customHeight="1" x14ac:dyDescent="0.2"/>
    <row r="198" ht="14.1" hidden="1" customHeight="1" x14ac:dyDescent="0.2"/>
    <row r="199" ht="14.1" hidden="1" customHeight="1" x14ac:dyDescent="0.2"/>
    <row r="200" ht="14.1" hidden="1" customHeight="1" x14ac:dyDescent="0.2"/>
    <row r="201" ht="14.1" hidden="1" customHeight="1" x14ac:dyDescent="0.2"/>
    <row r="202" ht="14.1" hidden="1" customHeight="1" x14ac:dyDescent="0.2"/>
    <row r="203" ht="14.1" hidden="1" customHeight="1" x14ac:dyDescent="0.2"/>
    <row r="204" ht="14.1" hidden="1" customHeight="1" x14ac:dyDescent="0.2"/>
    <row r="205" ht="14.1" hidden="1" customHeight="1" x14ac:dyDescent="0.2"/>
    <row r="206" ht="14.1" hidden="1" customHeight="1" x14ac:dyDescent="0.2"/>
    <row r="207" ht="14.1" hidden="1" customHeight="1" x14ac:dyDescent="0.2"/>
    <row r="208" ht="14.1" hidden="1" customHeight="1" x14ac:dyDescent="0.2"/>
    <row r="209" ht="14.1" hidden="1" customHeight="1" x14ac:dyDescent="0.2"/>
    <row r="210" ht="14.1" hidden="1" customHeight="1" x14ac:dyDescent="0.2"/>
    <row r="211" ht="14.1" hidden="1" customHeight="1" x14ac:dyDescent="0.2"/>
    <row r="212" ht="14.1" hidden="1" customHeight="1" x14ac:dyDescent="0.2"/>
    <row r="213" ht="14.1" hidden="1" customHeight="1" x14ac:dyDescent="0.2"/>
    <row r="214" ht="14.1" hidden="1" customHeight="1" x14ac:dyDescent="0.2"/>
    <row r="215" ht="14.1" hidden="1" customHeight="1" x14ac:dyDescent="0.2"/>
    <row r="216" ht="14.1" hidden="1" customHeight="1" x14ac:dyDescent="0.2"/>
    <row r="217" ht="14.1" hidden="1" customHeight="1" x14ac:dyDescent="0.2"/>
    <row r="218" ht="14.1" hidden="1" customHeight="1" x14ac:dyDescent="0.2"/>
    <row r="219" ht="14.1" hidden="1" customHeight="1" x14ac:dyDescent="0.2"/>
    <row r="220" ht="14.1" hidden="1" customHeight="1" x14ac:dyDescent="0.2"/>
    <row r="221" ht="14.1" hidden="1" customHeight="1" x14ac:dyDescent="0.2"/>
    <row r="222" ht="14.1" hidden="1" customHeight="1" x14ac:dyDescent="0.2"/>
    <row r="223" ht="14.1" hidden="1" customHeight="1" x14ac:dyDescent="0.2"/>
    <row r="224" ht="14.1" hidden="1" customHeight="1" x14ac:dyDescent="0.2"/>
    <row r="225" ht="14.1" hidden="1" customHeight="1" x14ac:dyDescent="0.2"/>
    <row r="226" ht="14.1" hidden="1" customHeight="1" x14ac:dyDescent="0.2"/>
    <row r="227" ht="14.1" hidden="1" customHeight="1" x14ac:dyDescent="0.2"/>
    <row r="228" ht="14.1" hidden="1" customHeight="1" x14ac:dyDescent="0.2"/>
    <row r="229" ht="14.1" hidden="1" customHeight="1" x14ac:dyDescent="0.2"/>
    <row r="230" ht="14.1" hidden="1" customHeight="1" x14ac:dyDescent="0.2"/>
    <row r="231" ht="14.1" hidden="1" customHeight="1" x14ac:dyDescent="0.2"/>
    <row r="232" ht="14.1" hidden="1" customHeight="1" x14ac:dyDescent="0.2"/>
    <row r="233" ht="14.1" hidden="1" customHeight="1" x14ac:dyDescent="0.2"/>
    <row r="234" ht="14.1" hidden="1" customHeight="1" x14ac:dyDescent="0.2"/>
    <row r="235" ht="14.1" hidden="1" customHeight="1" x14ac:dyDescent="0.2"/>
    <row r="236" ht="14.1" hidden="1" customHeight="1" x14ac:dyDescent="0.2"/>
    <row r="237" ht="14.1" hidden="1" customHeight="1" x14ac:dyDescent="0.2"/>
    <row r="238" ht="14.1" hidden="1" customHeight="1" x14ac:dyDescent="0.2"/>
    <row r="239" ht="14.1" hidden="1" customHeight="1" x14ac:dyDescent="0.2"/>
    <row r="240" ht="14.1" hidden="1" customHeight="1" x14ac:dyDescent="0.2"/>
    <row r="241" ht="14.1" hidden="1" customHeight="1" x14ac:dyDescent="0.2"/>
    <row r="242" ht="14.1" hidden="1" customHeight="1" x14ac:dyDescent="0.2"/>
    <row r="243" ht="14.1" hidden="1" customHeight="1" x14ac:dyDescent="0.2"/>
    <row r="244" ht="14.1" hidden="1" customHeight="1" x14ac:dyDescent="0.2"/>
    <row r="245" ht="14.1" hidden="1" customHeight="1" x14ac:dyDescent="0.2"/>
    <row r="246" ht="14.1" hidden="1" customHeight="1" x14ac:dyDescent="0.2"/>
    <row r="247" ht="14.1" hidden="1" customHeight="1" x14ac:dyDescent="0.2"/>
    <row r="248" ht="14.1" hidden="1" customHeight="1" x14ac:dyDescent="0.2"/>
    <row r="249" ht="14.1" hidden="1" customHeight="1" x14ac:dyDescent="0.2"/>
    <row r="250" ht="14.1" hidden="1" customHeight="1" x14ac:dyDescent="0.2"/>
    <row r="251" ht="14.1" hidden="1" customHeight="1" x14ac:dyDescent="0.2"/>
    <row r="252" ht="14.1" hidden="1" customHeight="1" x14ac:dyDescent="0.2"/>
    <row r="253" ht="14.1" hidden="1" customHeight="1" x14ac:dyDescent="0.2"/>
    <row r="254" ht="14.1" hidden="1" customHeight="1" x14ac:dyDescent="0.2"/>
    <row r="255" ht="14.1" hidden="1" customHeight="1" x14ac:dyDescent="0.2"/>
    <row r="256" ht="14.1" hidden="1" customHeight="1" x14ac:dyDescent="0.2"/>
    <row r="257" ht="14.1" hidden="1" customHeight="1" x14ac:dyDescent="0.2"/>
    <row r="258" ht="14.1" hidden="1" customHeight="1" x14ac:dyDescent="0.2"/>
    <row r="259" ht="14.1" hidden="1" customHeight="1" x14ac:dyDescent="0.2"/>
    <row r="260" ht="14.1" hidden="1" customHeight="1" x14ac:dyDescent="0.2"/>
    <row r="261" ht="14.1" hidden="1" customHeight="1" x14ac:dyDescent="0.2"/>
    <row r="262" ht="14.1" hidden="1" customHeight="1" x14ac:dyDescent="0.2"/>
    <row r="263" ht="14.1" hidden="1" customHeight="1" x14ac:dyDescent="0.2"/>
    <row r="264" ht="14.1" hidden="1" customHeight="1" x14ac:dyDescent="0.2"/>
    <row r="265" ht="14.1" hidden="1" customHeight="1" x14ac:dyDescent="0.2"/>
    <row r="266" ht="14.1" hidden="1" customHeight="1" x14ac:dyDescent="0.2"/>
    <row r="267" ht="14.1" hidden="1" customHeight="1" x14ac:dyDescent="0.2"/>
    <row r="268" ht="14.1" hidden="1" customHeight="1" x14ac:dyDescent="0.2"/>
    <row r="269" ht="14.1" hidden="1" customHeight="1" x14ac:dyDescent="0.2"/>
    <row r="270" ht="14.1" hidden="1" customHeight="1" x14ac:dyDescent="0.2"/>
    <row r="271" ht="14.1" hidden="1" customHeight="1" x14ac:dyDescent="0.2"/>
    <row r="272" ht="14.1" hidden="1" customHeight="1" x14ac:dyDescent="0.2"/>
    <row r="273" ht="14.1" hidden="1" customHeight="1" x14ac:dyDescent="0.2"/>
    <row r="274" ht="14.1" hidden="1" customHeight="1" x14ac:dyDescent="0.2"/>
    <row r="275" ht="14.1" hidden="1" customHeight="1" x14ac:dyDescent="0.2"/>
    <row r="276" ht="14.1" hidden="1" customHeight="1" x14ac:dyDescent="0.2"/>
    <row r="277" ht="14.1" hidden="1" customHeight="1" x14ac:dyDescent="0.2"/>
    <row r="278" ht="14.1" hidden="1" customHeight="1" x14ac:dyDescent="0.2"/>
    <row r="279" ht="14.1" hidden="1" customHeight="1" x14ac:dyDescent="0.2"/>
    <row r="280" ht="14.1" hidden="1" customHeight="1" x14ac:dyDescent="0.2"/>
    <row r="281" ht="14.1" hidden="1" customHeight="1" x14ac:dyDescent="0.2"/>
    <row r="282" ht="14.1" hidden="1" customHeight="1" x14ac:dyDescent="0.2"/>
    <row r="283" ht="14.1" hidden="1" customHeight="1" x14ac:dyDescent="0.2"/>
    <row r="284" ht="14.1" hidden="1" customHeight="1" x14ac:dyDescent="0.2"/>
    <row r="285" ht="14.1" hidden="1" customHeight="1" x14ac:dyDescent="0.2"/>
    <row r="286" ht="14.1" hidden="1" customHeight="1" x14ac:dyDescent="0.2"/>
    <row r="287" ht="14.1" hidden="1" customHeight="1" x14ac:dyDescent="0.2"/>
    <row r="288" ht="14.1" hidden="1" customHeight="1" x14ac:dyDescent="0.2"/>
    <row r="289" ht="14.1" hidden="1" customHeight="1" x14ac:dyDescent="0.2"/>
    <row r="290" ht="14.1" hidden="1" customHeight="1" x14ac:dyDescent="0.2"/>
    <row r="291" ht="14.1" hidden="1" customHeight="1" x14ac:dyDescent="0.2"/>
    <row r="292" ht="14.1" hidden="1" customHeight="1" x14ac:dyDescent="0.2"/>
    <row r="293" ht="14.1" hidden="1" customHeight="1" x14ac:dyDescent="0.2"/>
    <row r="294" ht="14.1" hidden="1" customHeight="1" x14ac:dyDescent="0.2"/>
    <row r="295" ht="14.1" hidden="1" customHeight="1" x14ac:dyDescent="0.2"/>
    <row r="296" ht="14.1" hidden="1" customHeight="1" x14ac:dyDescent="0.2"/>
    <row r="297" ht="14.1" hidden="1" customHeight="1" x14ac:dyDescent="0.2"/>
    <row r="298" ht="14.1" hidden="1" customHeight="1" x14ac:dyDescent="0.2"/>
    <row r="299" ht="14.1" hidden="1" customHeight="1" x14ac:dyDescent="0.2"/>
    <row r="300" ht="14.1" hidden="1" customHeight="1" x14ac:dyDescent="0.2"/>
    <row r="301" ht="14.1" hidden="1" customHeight="1" x14ac:dyDescent="0.2"/>
    <row r="302" ht="14.1" hidden="1" customHeight="1" x14ac:dyDescent="0.2"/>
    <row r="303" ht="14.1" hidden="1" customHeight="1" x14ac:dyDescent="0.2"/>
    <row r="304" ht="14.1" hidden="1" customHeight="1" x14ac:dyDescent="0.2"/>
    <row r="305" ht="14.1" hidden="1" customHeight="1" x14ac:dyDescent="0.2"/>
    <row r="306" ht="14.1" hidden="1" customHeight="1" x14ac:dyDescent="0.2"/>
    <row r="307" ht="14.1" hidden="1" customHeight="1" x14ac:dyDescent="0.2"/>
    <row r="308" ht="14.1" hidden="1" customHeight="1" x14ac:dyDescent="0.2"/>
    <row r="309" ht="14.1" hidden="1" customHeight="1" x14ac:dyDescent="0.2"/>
    <row r="310" ht="14.1" hidden="1" customHeight="1" x14ac:dyDescent="0.2"/>
    <row r="311" ht="14.1" hidden="1" customHeight="1" x14ac:dyDescent="0.2"/>
    <row r="312" ht="14.1" hidden="1" customHeight="1" x14ac:dyDescent="0.2"/>
    <row r="313" ht="14.1" hidden="1" customHeight="1" x14ac:dyDescent="0.2"/>
    <row r="314" ht="14.1" hidden="1" customHeight="1" x14ac:dyDescent="0.2"/>
    <row r="315" ht="14.1" hidden="1" customHeight="1" x14ac:dyDescent="0.2"/>
    <row r="316" ht="14.1" hidden="1" customHeight="1" x14ac:dyDescent="0.2"/>
    <row r="317" ht="14.1" hidden="1" customHeight="1" x14ac:dyDescent="0.2"/>
    <row r="318" ht="14.1" hidden="1" customHeight="1" x14ac:dyDescent="0.2"/>
    <row r="319" ht="14.1" hidden="1" customHeight="1" x14ac:dyDescent="0.2"/>
    <row r="320" ht="14.1" hidden="1" customHeight="1" x14ac:dyDescent="0.2"/>
    <row r="321" ht="14.1" hidden="1" customHeight="1" x14ac:dyDescent="0.2"/>
    <row r="322" ht="14.1" hidden="1" customHeight="1" x14ac:dyDescent="0.2"/>
    <row r="323" ht="14.1" hidden="1" customHeight="1" x14ac:dyDescent="0.2"/>
    <row r="324" ht="14.1" hidden="1" customHeight="1" x14ac:dyDescent="0.2"/>
    <row r="325" ht="14.1" hidden="1" customHeight="1" x14ac:dyDescent="0.2"/>
    <row r="326" ht="14.1" hidden="1" customHeight="1" x14ac:dyDescent="0.2"/>
    <row r="327" ht="14.1" hidden="1" customHeight="1" x14ac:dyDescent="0.2"/>
    <row r="328" ht="14.1" hidden="1" customHeight="1" x14ac:dyDescent="0.2"/>
    <row r="329" ht="14.1" hidden="1" customHeight="1" x14ac:dyDescent="0.2"/>
    <row r="330" ht="14.1" hidden="1" customHeight="1" x14ac:dyDescent="0.2"/>
    <row r="331" ht="14.1" hidden="1" customHeight="1" x14ac:dyDescent="0.2"/>
    <row r="332" ht="14.1" hidden="1" customHeight="1" x14ac:dyDescent="0.2"/>
    <row r="333" ht="14.1" hidden="1" customHeight="1" x14ac:dyDescent="0.2"/>
    <row r="334" ht="14.1" hidden="1" customHeight="1" x14ac:dyDescent="0.2"/>
    <row r="335" ht="14.1" hidden="1" customHeight="1" x14ac:dyDescent="0.2"/>
    <row r="336" ht="14.1" hidden="1" customHeight="1" x14ac:dyDescent="0.2"/>
    <row r="337" ht="14.1" hidden="1" customHeight="1" x14ac:dyDescent="0.2"/>
    <row r="338" ht="14.1" hidden="1" customHeight="1" x14ac:dyDescent="0.2"/>
    <row r="339" ht="14.1" hidden="1" customHeight="1" x14ac:dyDescent="0.2"/>
    <row r="340" ht="14.1" hidden="1" customHeight="1" x14ac:dyDescent="0.2"/>
    <row r="341" ht="14.1" hidden="1" customHeight="1" x14ac:dyDescent="0.2"/>
    <row r="342" ht="14.1" hidden="1" customHeight="1" x14ac:dyDescent="0.2"/>
    <row r="343" ht="14.1" hidden="1" customHeight="1" x14ac:dyDescent="0.2"/>
    <row r="344" ht="14.1" hidden="1" customHeight="1" x14ac:dyDescent="0.2"/>
    <row r="345" ht="14.1" hidden="1" customHeight="1" x14ac:dyDescent="0.2"/>
    <row r="346" ht="14.1" hidden="1" customHeight="1" x14ac:dyDescent="0.2"/>
    <row r="347" ht="14.1" hidden="1" customHeight="1" x14ac:dyDescent="0.2"/>
    <row r="348" ht="14.1" hidden="1" customHeight="1" x14ac:dyDescent="0.2"/>
    <row r="349" ht="14.1" hidden="1" customHeight="1" x14ac:dyDescent="0.2"/>
    <row r="350" ht="14.1" hidden="1" customHeight="1" x14ac:dyDescent="0.2"/>
    <row r="351" ht="14.1" hidden="1" customHeight="1" x14ac:dyDescent="0.2"/>
    <row r="352" ht="14.1" hidden="1" customHeight="1" x14ac:dyDescent="0.2"/>
    <row r="353" ht="14.1" hidden="1" customHeight="1" x14ac:dyDescent="0.2"/>
    <row r="354" ht="14.1" hidden="1" customHeight="1" x14ac:dyDescent="0.2"/>
    <row r="355" ht="14.1" hidden="1" customHeight="1" x14ac:dyDescent="0.2"/>
    <row r="356" ht="14.1" hidden="1" customHeight="1" x14ac:dyDescent="0.2"/>
    <row r="357" ht="14.1" hidden="1" customHeight="1" x14ac:dyDescent="0.2"/>
    <row r="358" ht="14.1" hidden="1" customHeight="1" x14ac:dyDescent="0.2"/>
    <row r="359" ht="14.1" hidden="1" customHeight="1" x14ac:dyDescent="0.2"/>
    <row r="360" ht="14.1" hidden="1" customHeight="1" x14ac:dyDescent="0.2"/>
    <row r="361" ht="14.1" hidden="1" customHeight="1" x14ac:dyDescent="0.2"/>
    <row r="362" ht="14.1" hidden="1" customHeight="1" x14ac:dyDescent="0.2"/>
    <row r="363" ht="14.1" hidden="1" customHeight="1" x14ac:dyDescent="0.2"/>
    <row r="364" ht="14.1" hidden="1" customHeight="1" x14ac:dyDescent="0.2"/>
    <row r="365" ht="14.1" hidden="1" customHeight="1" x14ac:dyDescent="0.2"/>
    <row r="366" ht="14.1" hidden="1" customHeight="1" x14ac:dyDescent="0.2"/>
    <row r="367" ht="14.1" hidden="1" customHeight="1" x14ac:dyDescent="0.2"/>
    <row r="368" ht="14.1" hidden="1" customHeight="1" x14ac:dyDescent="0.2"/>
    <row r="369" ht="14.1" hidden="1" customHeight="1" x14ac:dyDescent="0.2"/>
    <row r="370" ht="14.1" hidden="1" customHeight="1" x14ac:dyDescent="0.2"/>
    <row r="371" ht="14.1" hidden="1" customHeight="1" x14ac:dyDescent="0.2"/>
    <row r="372" ht="14.1" hidden="1" customHeight="1" x14ac:dyDescent="0.2"/>
    <row r="373" ht="14.1" hidden="1" customHeight="1" x14ac:dyDescent="0.2"/>
    <row r="374" ht="14.1" hidden="1" customHeight="1" x14ac:dyDescent="0.2"/>
    <row r="375" ht="14.1" hidden="1" customHeight="1" x14ac:dyDescent="0.2"/>
    <row r="376" ht="14.1" hidden="1" customHeight="1" x14ac:dyDescent="0.2"/>
    <row r="377" ht="14.1" hidden="1" customHeight="1" x14ac:dyDescent="0.2"/>
    <row r="378" ht="14.1" hidden="1" customHeight="1" x14ac:dyDescent="0.2"/>
    <row r="379" ht="14.1" hidden="1" customHeight="1" x14ac:dyDescent="0.2"/>
    <row r="380" ht="14.1" hidden="1" customHeight="1" x14ac:dyDescent="0.2"/>
    <row r="381" ht="14.1" hidden="1" customHeight="1" x14ac:dyDescent="0.2"/>
    <row r="382" ht="14.1" hidden="1" customHeight="1" x14ac:dyDescent="0.2"/>
    <row r="383" ht="14.1" hidden="1" customHeight="1" x14ac:dyDescent="0.2"/>
    <row r="384" ht="14.1" hidden="1" customHeight="1" x14ac:dyDescent="0.2"/>
    <row r="385" ht="14.1" hidden="1" customHeight="1" x14ac:dyDescent="0.2"/>
    <row r="386" ht="14.1" hidden="1" customHeight="1" x14ac:dyDescent="0.2"/>
    <row r="387" ht="14.1" hidden="1" customHeight="1" x14ac:dyDescent="0.2"/>
    <row r="388" ht="14.1" hidden="1" customHeight="1" x14ac:dyDescent="0.2"/>
    <row r="389" ht="14.1" hidden="1" customHeight="1" x14ac:dyDescent="0.2"/>
    <row r="390" ht="14.1" hidden="1" customHeight="1" x14ac:dyDescent="0.2"/>
    <row r="391" ht="14.1" hidden="1" customHeight="1" x14ac:dyDescent="0.2"/>
    <row r="392" ht="14.1" hidden="1" customHeight="1" x14ac:dyDescent="0.2"/>
    <row r="393" ht="14.1" hidden="1" customHeight="1" x14ac:dyDescent="0.2"/>
    <row r="394" ht="14.1" hidden="1" customHeight="1" x14ac:dyDescent="0.2"/>
    <row r="395" ht="14.1" hidden="1" customHeight="1" x14ac:dyDescent="0.2"/>
    <row r="396" ht="14.1" hidden="1" customHeight="1" x14ac:dyDescent="0.2"/>
    <row r="397" ht="14.1" hidden="1" customHeight="1" x14ac:dyDescent="0.2"/>
    <row r="398" ht="14.1" hidden="1" customHeight="1" x14ac:dyDescent="0.2"/>
    <row r="399" ht="14.1" hidden="1" customHeight="1" x14ac:dyDescent="0.2"/>
    <row r="400" ht="14.1" hidden="1" customHeight="1" x14ac:dyDescent="0.2"/>
    <row r="401" ht="14.1" hidden="1" customHeight="1" x14ac:dyDescent="0.2"/>
    <row r="402" ht="14.1" hidden="1" customHeight="1" x14ac:dyDescent="0.2"/>
    <row r="403" ht="14.1" hidden="1" customHeight="1" x14ac:dyDescent="0.2"/>
    <row r="404" ht="14.1" hidden="1" customHeight="1" x14ac:dyDescent="0.2"/>
    <row r="405" ht="14.1" hidden="1" customHeight="1" x14ac:dyDescent="0.2"/>
    <row r="406" ht="14.1" hidden="1" customHeight="1" x14ac:dyDescent="0.2"/>
    <row r="407" ht="14.1" hidden="1" customHeight="1" x14ac:dyDescent="0.2"/>
    <row r="408" ht="14.1" hidden="1" customHeight="1" x14ac:dyDescent="0.2"/>
    <row r="409" ht="14.1" hidden="1" customHeight="1" x14ac:dyDescent="0.2"/>
    <row r="410" ht="14.1" hidden="1" customHeight="1" x14ac:dyDescent="0.2"/>
    <row r="411" ht="14.1" hidden="1" customHeight="1" x14ac:dyDescent="0.2"/>
    <row r="412" ht="14.1" hidden="1" customHeight="1" x14ac:dyDescent="0.2"/>
    <row r="413" ht="14.1" hidden="1" customHeight="1" x14ac:dyDescent="0.2"/>
    <row r="414" ht="14.1" hidden="1" customHeight="1" x14ac:dyDescent="0.2"/>
    <row r="415" ht="14.1" hidden="1" customHeight="1" x14ac:dyDescent="0.2"/>
    <row r="416" ht="14.1" hidden="1" customHeight="1" x14ac:dyDescent="0.2"/>
    <row r="417" ht="14.1" hidden="1" customHeight="1" x14ac:dyDescent="0.2"/>
    <row r="418" ht="14.1" hidden="1" customHeight="1" x14ac:dyDescent="0.2"/>
    <row r="419" ht="14.1" hidden="1" customHeight="1" x14ac:dyDescent="0.2"/>
    <row r="420" ht="14.1" hidden="1" customHeight="1" x14ac:dyDescent="0.2"/>
    <row r="421" ht="14.1" hidden="1" customHeight="1" x14ac:dyDescent="0.2"/>
    <row r="422" ht="14.1" hidden="1" customHeight="1" x14ac:dyDescent="0.2"/>
    <row r="423" ht="14.1" hidden="1" customHeight="1" x14ac:dyDescent="0.2"/>
    <row r="424" ht="14.1" hidden="1" customHeight="1" x14ac:dyDescent="0.2"/>
    <row r="425" ht="14.1" hidden="1" customHeight="1" x14ac:dyDescent="0.2"/>
    <row r="426" ht="14.1" hidden="1" customHeight="1" x14ac:dyDescent="0.2"/>
    <row r="427" ht="14.1" hidden="1" customHeight="1" x14ac:dyDescent="0.2"/>
    <row r="428" ht="14.1" hidden="1" customHeight="1" x14ac:dyDescent="0.2"/>
    <row r="429" ht="14.1" hidden="1" customHeight="1" x14ac:dyDescent="0.2"/>
    <row r="430" ht="14.1" hidden="1" customHeight="1" x14ac:dyDescent="0.2"/>
    <row r="431" ht="14.1" hidden="1" customHeight="1" x14ac:dyDescent="0.2"/>
    <row r="432" ht="14.1" hidden="1" customHeight="1" x14ac:dyDescent="0.2"/>
    <row r="433" ht="14.1" hidden="1" customHeight="1" x14ac:dyDescent="0.2"/>
    <row r="434" ht="14.1" hidden="1" customHeight="1" x14ac:dyDescent="0.2"/>
    <row r="435" ht="14.1" hidden="1" customHeight="1" x14ac:dyDescent="0.2"/>
    <row r="436" ht="14.1" hidden="1" customHeight="1" x14ac:dyDescent="0.2"/>
    <row r="437" ht="14.1" hidden="1" customHeight="1" x14ac:dyDescent="0.2"/>
    <row r="438" ht="14.1" hidden="1" customHeight="1" x14ac:dyDescent="0.2"/>
    <row r="439" ht="14.1" hidden="1" customHeight="1" x14ac:dyDescent="0.2"/>
    <row r="440" ht="14.1" hidden="1" customHeight="1" x14ac:dyDescent="0.2"/>
    <row r="441" ht="14.1" hidden="1" customHeight="1" x14ac:dyDescent="0.2"/>
    <row r="442" ht="14.1" hidden="1" customHeight="1" x14ac:dyDescent="0.2"/>
    <row r="443" ht="14.1" hidden="1" customHeight="1" x14ac:dyDescent="0.2"/>
    <row r="444" ht="14.1" hidden="1" customHeight="1" x14ac:dyDescent="0.2"/>
    <row r="445" ht="14.1" hidden="1" customHeight="1" x14ac:dyDescent="0.2"/>
    <row r="446" ht="14.1" hidden="1" customHeight="1" x14ac:dyDescent="0.2"/>
    <row r="447" ht="14.1" hidden="1" customHeight="1" x14ac:dyDescent="0.2"/>
    <row r="448" ht="14.1" hidden="1" customHeight="1" x14ac:dyDescent="0.2"/>
    <row r="449" ht="14.1" hidden="1" customHeight="1" x14ac:dyDescent="0.2"/>
    <row r="450" ht="14.1" hidden="1" customHeight="1" x14ac:dyDescent="0.2"/>
    <row r="451" ht="14.1" hidden="1" customHeight="1" x14ac:dyDescent="0.2"/>
    <row r="452" ht="14.1" hidden="1" customHeight="1" x14ac:dyDescent="0.2"/>
    <row r="453" ht="14.1" hidden="1" customHeight="1" x14ac:dyDescent="0.2"/>
    <row r="454" ht="14.1" hidden="1" customHeight="1" x14ac:dyDescent="0.2"/>
    <row r="455" ht="14.1" hidden="1" customHeight="1" x14ac:dyDescent="0.2"/>
    <row r="456" ht="14.1" hidden="1" customHeight="1" x14ac:dyDescent="0.2"/>
    <row r="457" ht="14.1" hidden="1" customHeight="1" x14ac:dyDescent="0.2"/>
    <row r="458" ht="14.1" hidden="1" customHeight="1" x14ac:dyDescent="0.2"/>
    <row r="459" ht="14.1" hidden="1" customHeight="1" x14ac:dyDescent="0.2"/>
    <row r="460" ht="14.1" hidden="1" customHeight="1" x14ac:dyDescent="0.2"/>
    <row r="461" ht="14.1" hidden="1" customHeight="1" x14ac:dyDescent="0.2"/>
    <row r="462" ht="14.1" hidden="1" customHeight="1" x14ac:dyDescent="0.2"/>
    <row r="463" ht="14.1" hidden="1" customHeight="1" x14ac:dyDescent="0.2"/>
    <row r="464" ht="14.1" hidden="1" customHeight="1" x14ac:dyDescent="0.2"/>
    <row r="465" ht="14.1" hidden="1" customHeight="1" x14ac:dyDescent="0.2"/>
    <row r="466" ht="14.1" hidden="1" customHeight="1" x14ac:dyDescent="0.2"/>
    <row r="467" ht="14.1" hidden="1" customHeight="1" x14ac:dyDescent="0.2"/>
    <row r="468" ht="14.1" hidden="1" customHeight="1" x14ac:dyDescent="0.2"/>
    <row r="469" ht="14.1" hidden="1" customHeight="1" x14ac:dyDescent="0.2"/>
    <row r="470" ht="14.1" hidden="1" customHeight="1" x14ac:dyDescent="0.2"/>
    <row r="471" ht="14.1" hidden="1" customHeight="1" x14ac:dyDescent="0.2"/>
    <row r="472" ht="14.1" hidden="1" customHeight="1" x14ac:dyDescent="0.2"/>
    <row r="473" ht="14.1" hidden="1" customHeight="1" x14ac:dyDescent="0.2"/>
    <row r="474" ht="14.1" hidden="1" customHeight="1" x14ac:dyDescent="0.2"/>
    <row r="475" ht="14.1" hidden="1" customHeight="1" x14ac:dyDescent="0.2"/>
    <row r="476" ht="14.1" hidden="1" customHeight="1" x14ac:dyDescent="0.2"/>
    <row r="477" ht="14.1" hidden="1" customHeight="1" x14ac:dyDescent="0.2"/>
    <row r="478" ht="14.1" hidden="1" customHeight="1" x14ac:dyDescent="0.2"/>
    <row r="479" ht="14.1" hidden="1" customHeight="1" x14ac:dyDescent="0.2"/>
    <row r="480" ht="14.1" hidden="1" customHeight="1" x14ac:dyDescent="0.2"/>
    <row r="481" ht="14.1" hidden="1" customHeight="1" x14ac:dyDescent="0.2"/>
    <row r="482" ht="14.1" hidden="1" customHeight="1" x14ac:dyDescent="0.2"/>
    <row r="483" ht="14.1" hidden="1" customHeight="1" x14ac:dyDescent="0.2"/>
    <row r="484" ht="14.1" hidden="1" customHeight="1" x14ac:dyDescent="0.2"/>
    <row r="485" ht="14.1" hidden="1" customHeight="1" x14ac:dyDescent="0.2"/>
    <row r="486" ht="14.1" hidden="1" customHeight="1" x14ac:dyDescent="0.2"/>
    <row r="487" ht="14.1" hidden="1" customHeight="1" x14ac:dyDescent="0.2"/>
    <row r="488" ht="14.1" hidden="1" customHeight="1" x14ac:dyDescent="0.2"/>
    <row r="489" ht="14.1" hidden="1" customHeight="1" x14ac:dyDescent="0.2"/>
    <row r="490" ht="14.1" hidden="1" customHeight="1" x14ac:dyDescent="0.2"/>
    <row r="491" ht="14.1" hidden="1" customHeight="1" x14ac:dyDescent="0.2"/>
    <row r="492" ht="14.1" hidden="1" customHeight="1" x14ac:dyDescent="0.2"/>
    <row r="493" ht="14.1" hidden="1" customHeight="1" x14ac:dyDescent="0.2"/>
    <row r="494" ht="14.1" hidden="1" customHeight="1" x14ac:dyDescent="0.2"/>
    <row r="495" ht="14.1" hidden="1" customHeight="1" x14ac:dyDescent="0.2"/>
    <row r="496" ht="14.1" hidden="1" customHeight="1" x14ac:dyDescent="0.2"/>
    <row r="497" ht="14.1" hidden="1" customHeight="1" x14ac:dyDescent="0.2"/>
    <row r="498" ht="14.1" hidden="1" customHeight="1" x14ac:dyDescent="0.2"/>
    <row r="499" ht="14.1" hidden="1" customHeight="1" x14ac:dyDescent="0.2"/>
    <row r="500" ht="14.1" hidden="1" customHeight="1" x14ac:dyDescent="0.2"/>
    <row r="501" ht="14.1" hidden="1" customHeight="1" x14ac:dyDescent="0.2"/>
    <row r="502" ht="14.1" hidden="1" customHeight="1" x14ac:dyDescent="0.2"/>
    <row r="503" ht="14.1" hidden="1" customHeight="1" x14ac:dyDescent="0.2"/>
    <row r="504" ht="14.1" hidden="1" customHeight="1" x14ac:dyDescent="0.2"/>
    <row r="505" ht="14.1" hidden="1" customHeight="1" x14ac:dyDescent="0.2"/>
    <row r="506" ht="14.1" hidden="1" customHeight="1" x14ac:dyDescent="0.2"/>
    <row r="507" ht="14.1" hidden="1" customHeight="1" x14ac:dyDescent="0.2"/>
    <row r="508" ht="14.1" hidden="1" customHeight="1" x14ac:dyDescent="0.2"/>
    <row r="509" ht="14.1" hidden="1" customHeight="1" x14ac:dyDescent="0.2"/>
    <row r="510" ht="14.1" hidden="1" customHeight="1" x14ac:dyDescent="0.2"/>
    <row r="511" ht="14.1" hidden="1" customHeight="1" x14ac:dyDescent="0.2"/>
    <row r="512" ht="14.1" hidden="1" customHeight="1" x14ac:dyDescent="0.2"/>
    <row r="513" ht="14.1" hidden="1" customHeight="1" x14ac:dyDescent="0.2"/>
    <row r="514" ht="14.1" hidden="1" customHeight="1" x14ac:dyDescent="0.2"/>
    <row r="515" ht="14.1" hidden="1" customHeight="1" x14ac:dyDescent="0.2"/>
    <row r="516" ht="14.1" hidden="1" customHeight="1" x14ac:dyDescent="0.2"/>
    <row r="517" ht="14.1" hidden="1" customHeight="1" x14ac:dyDescent="0.2"/>
    <row r="518" ht="14.1" hidden="1" customHeight="1" x14ac:dyDescent="0.2"/>
    <row r="519" ht="14.1" hidden="1" customHeight="1" x14ac:dyDescent="0.2"/>
    <row r="520" ht="14.1" hidden="1" customHeight="1" x14ac:dyDescent="0.2"/>
    <row r="521" ht="14.1" hidden="1" customHeight="1" x14ac:dyDescent="0.2"/>
    <row r="522" ht="14.1" hidden="1" customHeight="1" x14ac:dyDescent="0.2"/>
    <row r="523" ht="14.1" hidden="1" customHeight="1" x14ac:dyDescent="0.2"/>
    <row r="524" ht="14.1" hidden="1" customHeight="1" x14ac:dyDescent="0.2"/>
    <row r="525" ht="14.1" hidden="1" customHeight="1" x14ac:dyDescent="0.2"/>
    <row r="526" ht="14.1" hidden="1" customHeight="1" x14ac:dyDescent="0.2"/>
    <row r="527" ht="14.1" hidden="1" customHeight="1" x14ac:dyDescent="0.2"/>
    <row r="528" ht="14.1" hidden="1" customHeight="1" x14ac:dyDescent="0.2"/>
    <row r="529" ht="14.1" hidden="1" customHeight="1" x14ac:dyDescent="0.2"/>
    <row r="530" ht="14.1" hidden="1" customHeight="1" x14ac:dyDescent="0.2"/>
    <row r="531" ht="14.1" hidden="1" customHeight="1" x14ac:dyDescent="0.2"/>
    <row r="532" ht="14.1" hidden="1" customHeight="1" x14ac:dyDescent="0.2"/>
    <row r="533" ht="14.1" hidden="1" customHeight="1" x14ac:dyDescent="0.2"/>
    <row r="534" ht="14.1" hidden="1" customHeight="1" x14ac:dyDescent="0.2"/>
    <row r="535" ht="14.1" hidden="1" customHeight="1" x14ac:dyDescent="0.2"/>
    <row r="536" ht="14.1" hidden="1" customHeight="1" x14ac:dyDescent="0.2"/>
    <row r="537" ht="14.1" hidden="1" customHeight="1" x14ac:dyDescent="0.2"/>
    <row r="538" ht="14.1" hidden="1" customHeight="1" x14ac:dyDescent="0.2"/>
    <row r="539" ht="14.1" hidden="1" customHeight="1" x14ac:dyDescent="0.2"/>
    <row r="540" ht="14.1" hidden="1" customHeight="1" x14ac:dyDescent="0.2"/>
    <row r="541" ht="14.1" hidden="1" customHeight="1" x14ac:dyDescent="0.2"/>
    <row r="542" ht="14.1" hidden="1" customHeight="1" x14ac:dyDescent="0.2"/>
    <row r="543" ht="14.1" hidden="1" customHeight="1" x14ac:dyDescent="0.2"/>
    <row r="544" ht="14.1" hidden="1" customHeight="1" x14ac:dyDescent="0.2"/>
    <row r="545" ht="14.1" hidden="1" customHeight="1" x14ac:dyDescent="0.2"/>
    <row r="546" ht="14.1" hidden="1" customHeight="1" x14ac:dyDescent="0.2"/>
    <row r="547" ht="14.1" hidden="1" customHeight="1" x14ac:dyDescent="0.2"/>
    <row r="548" ht="14.1" hidden="1" customHeight="1" x14ac:dyDescent="0.2"/>
    <row r="549" ht="14.1" hidden="1" customHeight="1" x14ac:dyDescent="0.2"/>
    <row r="550" ht="14.1" hidden="1" customHeight="1" x14ac:dyDescent="0.2"/>
    <row r="551" ht="14.1" hidden="1" customHeight="1" x14ac:dyDescent="0.2"/>
    <row r="552" ht="14.1" hidden="1" customHeight="1" x14ac:dyDescent="0.2"/>
    <row r="553" ht="14.1" hidden="1" customHeight="1" x14ac:dyDescent="0.2"/>
    <row r="554" ht="14.1" hidden="1" customHeight="1" x14ac:dyDescent="0.2"/>
    <row r="555" ht="14.1" hidden="1" customHeight="1" x14ac:dyDescent="0.2"/>
    <row r="556" ht="14.1" hidden="1" customHeight="1" x14ac:dyDescent="0.2"/>
    <row r="557" ht="14.1" hidden="1" customHeight="1" x14ac:dyDescent="0.2"/>
    <row r="558" ht="14.1" hidden="1" customHeight="1" x14ac:dyDescent="0.2"/>
    <row r="559" ht="14.1" hidden="1" customHeight="1" x14ac:dyDescent="0.2"/>
    <row r="560" ht="14.1" hidden="1" customHeight="1" x14ac:dyDescent="0.2"/>
    <row r="561" ht="14.1" hidden="1" customHeight="1" x14ac:dyDescent="0.2"/>
    <row r="562" ht="14.1" hidden="1" customHeight="1" x14ac:dyDescent="0.2"/>
    <row r="563" ht="14.1" hidden="1" customHeight="1" x14ac:dyDescent="0.2"/>
    <row r="564" ht="14.1" hidden="1" customHeight="1" x14ac:dyDescent="0.2"/>
    <row r="565" ht="14.1" hidden="1" customHeight="1" x14ac:dyDescent="0.2"/>
    <row r="566" ht="14.1" hidden="1" customHeight="1" x14ac:dyDescent="0.2"/>
    <row r="567" ht="14.1" hidden="1" customHeight="1" x14ac:dyDescent="0.2"/>
    <row r="568" ht="14.1" hidden="1" customHeight="1" x14ac:dyDescent="0.2"/>
    <row r="569" ht="14.1" hidden="1" customHeight="1" x14ac:dyDescent="0.2"/>
    <row r="570" ht="14.1" hidden="1" customHeight="1" x14ac:dyDescent="0.2"/>
    <row r="571" ht="14.1" hidden="1" customHeight="1" x14ac:dyDescent="0.2"/>
    <row r="572" ht="14.1" hidden="1" customHeight="1" x14ac:dyDescent="0.2"/>
    <row r="573" ht="14.1" hidden="1" customHeight="1" x14ac:dyDescent="0.2"/>
    <row r="574" ht="14.1" hidden="1" customHeight="1" x14ac:dyDescent="0.2"/>
    <row r="575" ht="14.1" hidden="1" customHeight="1" x14ac:dyDescent="0.2"/>
    <row r="576" ht="14.1" hidden="1" customHeight="1" x14ac:dyDescent="0.2"/>
    <row r="577" ht="14.1" hidden="1" customHeight="1" x14ac:dyDescent="0.2"/>
    <row r="578" ht="14.1" hidden="1" customHeight="1" x14ac:dyDescent="0.2"/>
    <row r="579" ht="14.1" hidden="1" customHeight="1" x14ac:dyDescent="0.2"/>
    <row r="580" ht="14.1" hidden="1" customHeight="1" x14ac:dyDescent="0.2"/>
    <row r="581" ht="14.1" hidden="1" customHeight="1" x14ac:dyDescent="0.2"/>
    <row r="582" ht="14.1" hidden="1" customHeight="1" x14ac:dyDescent="0.2"/>
    <row r="583" ht="14.1" hidden="1" customHeight="1" x14ac:dyDescent="0.2"/>
    <row r="584" ht="14.1" hidden="1" customHeight="1" x14ac:dyDescent="0.2"/>
    <row r="585" ht="14.1" hidden="1" customHeight="1" x14ac:dyDescent="0.2"/>
    <row r="586" ht="14.1" hidden="1" customHeight="1" x14ac:dyDescent="0.2"/>
    <row r="587" ht="14.1" hidden="1" customHeight="1" x14ac:dyDescent="0.2"/>
    <row r="588" ht="14.1" hidden="1" customHeight="1" x14ac:dyDescent="0.2"/>
    <row r="589" ht="14.1" hidden="1" customHeight="1" x14ac:dyDescent="0.2"/>
    <row r="590" ht="14.1" hidden="1" customHeight="1" x14ac:dyDescent="0.2"/>
    <row r="591" ht="14.1" hidden="1" customHeight="1" x14ac:dyDescent="0.2"/>
    <row r="592" ht="14.1" hidden="1" customHeight="1" x14ac:dyDescent="0.2"/>
    <row r="593" ht="14.1" hidden="1" customHeight="1" x14ac:dyDescent="0.2"/>
    <row r="594" ht="14.1" hidden="1" customHeight="1" x14ac:dyDescent="0.2"/>
    <row r="595" ht="14.1" hidden="1" customHeight="1" x14ac:dyDescent="0.2"/>
    <row r="596" ht="14.1" hidden="1" customHeight="1" x14ac:dyDescent="0.2"/>
    <row r="597" ht="14.1" hidden="1" customHeight="1" x14ac:dyDescent="0.2"/>
    <row r="598" ht="14.1" hidden="1" customHeight="1" x14ac:dyDescent="0.2"/>
    <row r="599" ht="14.1" hidden="1" customHeight="1" x14ac:dyDescent="0.2"/>
    <row r="600" ht="14.1" hidden="1" customHeight="1" x14ac:dyDescent="0.2"/>
    <row r="601" ht="14.1" hidden="1" customHeight="1" x14ac:dyDescent="0.2"/>
    <row r="602" ht="14.1" hidden="1" customHeight="1" x14ac:dyDescent="0.2"/>
    <row r="603" ht="14.1" hidden="1" customHeight="1" x14ac:dyDescent="0.2"/>
    <row r="604" ht="14.1" hidden="1" customHeight="1" x14ac:dyDescent="0.2"/>
    <row r="605" ht="14.1" hidden="1" customHeight="1" x14ac:dyDescent="0.2"/>
    <row r="606" ht="14.1" hidden="1" customHeight="1" x14ac:dyDescent="0.2"/>
    <row r="607" ht="14.1" hidden="1" customHeight="1" x14ac:dyDescent="0.2"/>
    <row r="608" ht="14.1" hidden="1" customHeight="1" x14ac:dyDescent="0.2"/>
    <row r="609" ht="14.1" hidden="1" customHeight="1" x14ac:dyDescent="0.2"/>
    <row r="610" ht="14.1" hidden="1" customHeight="1" x14ac:dyDescent="0.2"/>
    <row r="611" ht="14.1" hidden="1" customHeight="1" x14ac:dyDescent="0.2"/>
    <row r="612" ht="14.1" hidden="1" customHeight="1" x14ac:dyDescent="0.2"/>
    <row r="613" ht="14.1" hidden="1" customHeight="1" x14ac:dyDescent="0.2"/>
    <row r="614" ht="14.1" hidden="1" customHeight="1" x14ac:dyDescent="0.2"/>
    <row r="615" ht="14.1" hidden="1" customHeight="1" x14ac:dyDescent="0.2"/>
    <row r="616" ht="14.1" hidden="1" customHeight="1" x14ac:dyDescent="0.2"/>
    <row r="617" ht="14.1" hidden="1" customHeight="1" x14ac:dyDescent="0.2"/>
    <row r="618" ht="14.1" hidden="1" customHeight="1" x14ac:dyDescent="0.2"/>
    <row r="619" ht="14.1" hidden="1" customHeight="1" x14ac:dyDescent="0.2"/>
    <row r="620" ht="14.1" hidden="1" customHeight="1" x14ac:dyDescent="0.2"/>
    <row r="621" ht="14.1" hidden="1" customHeight="1" x14ac:dyDescent="0.2"/>
    <row r="622" ht="14.1" hidden="1" customHeight="1" x14ac:dyDescent="0.2"/>
    <row r="623" ht="14.1" hidden="1" customHeight="1" x14ac:dyDescent="0.2"/>
    <row r="624" ht="14.1" hidden="1" customHeight="1" x14ac:dyDescent="0.2"/>
    <row r="625" ht="14.1" hidden="1" customHeight="1" x14ac:dyDescent="0.2"/>
    <row r="626" ht="14.1" hidden="1" customHeight="1" x14ac:dyDescent="0.2"/>
    <row r="627" ht="14.1" hidden="1" customHeight="1" x14ac:dyDescent="0.2"/>
    <row r="628" ht="14.1" hidden="1" customHeight="1" x14ac:dyDescent="0.2"/>
    <row r="629" ht="14.1" hidden="1" customHeight="1" x14ac:dyDescent="0.2"/>
    <row r="630" ht="14.1" hidden="1" customHeight="1" x14ac:dyDescent="0.2"/>
    <row r="631" ht="14.1" hidden="1" customHeight="1" x14ac:dyDescent="0.2"/>
    <row r="632" ht="14.1" hidden="1" customHeight="1" x14ac:dyDescent="0.2"/>
    <row r="633" ht="14.1" hidden="1" customHeight="1" x14ac:dyDescent="0.2"/>
    <row r="634" ht="14.1" hidden="1" customHeight="1" x14ac:dyDescent="0.2"/>
    <row r="635" ht="14.1" hidden="1" customHeight="1" x14ac:dyDescent="0.2"/>
    <row r="636" ht="14.1" hidden="1" customHeight="1" x14ac:dyDescent="0.2"/>
    <row r="637" ht="14.1" hidden="1" customHeight="1" x14ac:dyDescent="0.2"/>
    <row r="638" ht="14.1" hidden="1" customHeight="1" x14ac:dyDescent="0.2"/>
    <row r="639" ht="14.1" hidden="1" customHeight="1" x14ac:dyDescent="0.2"/>
    <row r="640" ht="14.1" hidden="1" customHeight="1" x14ac:dyDescent="0.2"/>
    <row r="641" ht="14.1" hidden="1" customHeight="1" x14ac:dyDescent="0.2"/>
    <row r="642" ht="14.1" hidden="1" customHeight="1" x14ac:dyDescent="0.2"/>
    <row r="643" ht="14.1" hidden="1" customHeight="1" x14ac:dyDescent="0.2"/>
    <row r="644" ht="14.1" hidden="1" customHeight="1" x14ac:dyDescent="0.2"/>
    <row r="645" ht="14.1" hidden="1" customHeight="1" x14ac:dyDescent="0.2"/>
    <row r="646" ht="14.1" hidden="1" customHeight="1" x14ac:dyDescent="0.2"/>
    <row r="647" ht="14.1" hidden="1" customHeight="1" x14ac:dyDescent="0.2"/>
    <row r="648" ht="14.1" hidden="1" customHeight="1" x14ac:dyDescent="0.2"/>
    <row r="649" ht="14.1" hidden="1" customHeight="1" x14ac:dyDescent="0.2"/>
    <row r="650" ht="14.1" hidden="1" customHeight="1" x14ac:dyDescent="0.2"/>
    <row r="651" ht="14.1" hidden="1" customHeight="1" x14ac:dyDescent="0.2"/>
    <row r="652" ht="14.1" hidden="1" customHeight="1" x14ac:dyDescent="0.2"/>
    <row r="653" ht="14.1" hidden="1" customHeight="1" x14ac:dyDescent="0.2"/>
    <row r="654" ht="14.1" hidden="1" customHeight="1" x14ac:dyDescent="0.2"/>
    <row r="655" ht="14.1" hidden="1" customHeight="1" x14ac:dyDescent="0.2"/>
    <row r="656" ht="14.1" hidden="1" customHeight="1" x14ac:dyDescent="0.2"/>
    <row r="657" ht="14.1" hidden="1" customHeight="1" x14ac:dyDescent="0.2"/>
    <row r="658" ht="14.1" hidden="1" customHeight="1" x14ac:dyDescent="0.2"/>
    <row r="659" ht="14.1" hidden="1" customHeight="1" x14ac:dyDescent="0.2"/>
    <row r="660" ht="14.1" hidden="1" customHeight="1" x14ac:dyDescent="0.2"/>
    <row r="661" ht="14.1" hidden="1" customHeight="1" x14ac:dyDescent="0.2"/>
    <row r="662" ht="14.1" hidden="1" customHeight="1" x14ac:dyDescent="0.2"/>
    <row r="663" ht="14.1" hidden="1" customHeight="1" x14ac:dyDescent="0.2"/>
    <row r="664" ht="14.1" hidden="1" customHeight="1" x14ac:dyDescent="0.2"/>
    <row r="665" ht="14.1" hidden="1" customHeight="1" x14ac:dyDescent="0.2"/>
    <row r="666" ht="14.1" hidden="1" customHeight="1" x14ac:dyDescent="0.2"/>
    <row r="667" ht="14.1" hidden="1" customHeight="1" x14ac:dyDescent="0.2"/>
    <row r="668" ht="14.1" hidden="1" customHeight="1" x14ac:dyDescent="0.2"/>
    <row r="669" ht="14.1" hidden="1" customHeight="1" x14ac:dyDescent="0.2"/>
    <row r="670" ht="14.1" hidden="1" customHeight="1" x14ac:dyDescent="0.2"/>
    <row r="671" ht="14.1" hidden="1" customHeight="1" x14ac:dyDescent="0.2"/>
    <row r="672" ht="14.1" hidden="1" customHeight="1" x14ac:dyDescent="0.2"/>
    <row r="673" ht="14.1" hidden="1" customHeight="1" x14ac:dyDescent="0.2"/>
    <row r="674" ht="14.1" hidden="1" customHeight="1" x14ac:dyDescent="0.2"/>
    <row r="675" ht="14.1" hidden="1" customHeight="1" x14ac:dyDescent="0.2"/>
    <row r="676" ht="14.1" hidden="1" customHeight="1" x14ac:dyDescent="0.2"/>
    <row r="677" ht="14.1" hidden="1" customHeight="1" x14ac:dyDescent="0.2"/>
    <row r="678" ht="14.1" hidden="1" customHeight="1" x14ac:dyDescent="0.2"/>
    <row r="679" ht="14.1" hidden="1" customHeight="1" x14ac:dyDescent="0.2"/>
    <row r="680" ht="14.1" hidden="1" customHeight="1" x14ac:dyDescent="0.2"/>
    <row r="681" ht="14.1" hidden="1" customHeight="1" x14ac:dyDescent="0.2"/>
    <row r="682" ht="14.1" hidden="1" customHeight="1" x14ac:dyDescent="0.2"/>
    <row r="683" ht="14.1" hidden="1" customHeight="1" x14ac:dyDescent="0.2"/>
    <row r="684" ht="14.1" hidden="1" customHeight="1" x14ac:dyDescent="0.2"/>
    <row r="685" ht="14.1" hidden="1" customHeight="1" x14ac:dyDescent="0.2"/>
    <row r="686" ht="14.1" hidden="1" customHeight="1" x14ac:dyDescent="0.2"/>
    <row r="687" ht="14.1" hidden="1" customHeight="1" x14ac:dyDescent="0.2"/>
    <row r="688" ht="14.1" hidden="1" customHeight="1" x14ac:dyDescent="0.2"/>
    <row r="689" ht="14.1" hidden="1" customHeight="1" x14ac:dyDescent="0.2"/>
    <row r="690" ht="14.1" hidden="1" customHeight="1" x14ac:dyDescent="0.2"/>
    <row r="691" ht="14.1" hidden="1" customHeight="1" x14ac:dyDescent="0.2"/>
    <row r="692" ht="14.1" hidden="1" customHeight="1" x14ac:dyDescent="0.2"/>
    <row r="693" ht="14.1" hidden="1" customHeight="1" x14ac:dyDescent="0.2"/>
    <row r="694" ht="14.1" hidden="1" customHeight="1" x14ac:dyDescent="0.2"/>
    <row r="695" ht="14.1" hidden="1" customHeight="1" x14ac:dyDescent="0.2"/>
    <row r="696" ht="14.1" hidden="1" customHeight="1" x14ac:dyDescent="0.2"/>
    <row r="697" ht="14.1" hidden="1" customHeight="1" x14ac:dyDescent="0.2"/>
    <row r="698" ht="14.1" hidden="1" customHeight="1" x14ac:dyDescent="0.2"/>
    <row r="699" ht="14.1" hidden="1" customHeight="1" x14ac:dyDescent="0.2"/>
    <row r="700" ht="14.1" hidden="1" customHeight="1" x14ac:dyDescent="0.2"/>
    <row r="701" ht="14.1" hidden="1" customHeight="1" x14ac:dyDescent="0.2"/>
    <row r="702" ht="14.1" hidden="1" customHeight="1" x14ac:dyDescent="0.2"/>
    <row r="703" ht="14.1" hidden="1" customHeight="1" x14ac:dyDescent="0.2"/>
    <row r="704" ht="14.1" hidden="1" customHeight="1" x14ac:dyDescent="0.2"/>
    <row r="705" ht="14.1" hidden="1" customHeight="1" x14ac:dyDescent="0.2"/>
    <row r="706" ht="14.1" hidden="1" customHeight="1" x14ac:dyDescent="0.2"/>
    <row r="707" ht="14.1" hidden="1" customHeight="1" x14ac:dyDescent="0.2"/>
    <row r="708" ht="14.1" hidden="1" customHeight="1" x14ac:dyDescent="0.2"/>
    <row r="709" ht="14.1" hidden="1" customHeight="1" x14ac:dyDescent="0.2"/>
    <row r="710" ht="14.1" hidden="1" customHeight="1" x14ac:dyDescent="0.2"/>
    <row r="711" ht="14.1" hidden="1" customHeight="1" x14ac:dyDescent="0.2"/>
    <row r="712" ht="14.1" hidden="1" customHeight="1" x14ac:dyDescent="0.2"/>
    <row r="713" ht="14.1" hidden="1" customHeight="1" x14ac:dyDescent="0.2"/>
    <row r="714" ht="14.1" hidden="1" customHeight="1" x14ac:dyDescent="0.2"/>
    <row r="715" ht="14.1" hidden="1" customHeight="1" x14ac:dyDescent="0.2"/>
    <row r="716" ht="14.1" hidden="1" customHeight="1" x14ac:dyDescent="0.2"/>
    <row r="717" ht="14.1" hidden="1" customHeight="1" x14ac:dyDescent="0.2"/>
    <row r="718" ht="14.1" hidden="1" customHeight="1" x14ac:dyDescent="0.2"/>
    <row r="719" ht="14.1" hidden="1" customHeight="1" x14ac:dyDescent="0.2"/>
    <row r="720" ht="14.1" hidden="1" customHeight="1" x14ac:dyDescent="0.2"/>
    <row r="721" ht="14.1" hidden="1" customHeight="1" x14ac:dyDescent="0.2"/>
    <row r="722" ht="14.1" hidden="1" customHeight="1" x14ac:dyDescent="0.2"/>
    <row r="723" ht="14.1" hidden="1" customHeight="1" x14ac:dyDescent="0.2"/>
    <row r="724" ht="14.1" hidden="1" customHeight="1" x14ac:dyDescent="0.2"/>
    <row r="725" ht="14.1" hidden="1" customHeight="1" x14ac:dyDescent="0.2"/>
    <row r="726" ht="14.1" hidden="1" customHeight="1" x14ac:dyDescent="0.2"/>
    <row r="727" ht="14.1" hidden="1" customHeight="1" x14ac:dyDescent="0.2"/>
    <row r="728" ht="14.1" hidden="1" customHeight="1" x14ac:dyDescent="0.2"/>
    <row r="729" ht="14.1" hidden="1" customHeight="1" x14ac:dyDescent="0.2"/>
    <row r="730" ht="14.1" hidden="1" customHeight="1" x14ac:dyDescent="0.2"/>
    <row r="731" ht="14.1" hidden="1" customHeight="1" x14ac:dyDescent="0.2"/>
    <row r="732" ht="14.1" hidden="1" customHeight="1" x14ac:dyDescent="0.2"/>
    <row r="733" ht="14.1" hidden="1" customHeight="1" x14ac:dyDescent="0.2"/>
    <row r="734" ht="14.1" hidden="1" customHeight="1" x14ac:dyDescent="0.2"/>
    <row r="735" ht="14.1" hidden="1" customHeight="1" x14ac:dyDescent="0.2"/>
    <row r="736" ht="14.1" hidden="1" customHeight="1" x14ac:dyDescent="0.2"/>
    <row r="737" ht="14.1" hidden="1" customHeight="1" x14ac:dyDescent="0.2"/>
    <row r="738" ht="14.1" hidden="1" customHeight="1" x14ac:dyDescent="0.2"/>
    <row r="739" ht="14.1" hidden="1" customHeight="1" x14ac:dyDescent="0.2"/>
    <row r="740" ht="14.1" hidden="1" customHeight="1" x14ac:dyDescent="0.2"/>
    <row r="741" ht="14.1" hidden="1" customHeight="1" x14ac:dyDescent="0.2"/>
    <row r="742" ht="14.1" hidden="1" customHeight="1" x14ac:dyDescent="0.2"/>
    <row r="743" ht="14.1" hidden="1" customHeight="1" x14ac:dyDescent="0.2"/>
    <row r="744" ht="14.1" hidden="1" customHeight="1" x14ac:dyDescent="0.2"/>
    <row r="745" ht="14.1" hidden="1" customHeight="1" x14ac:dyDescent="0.2"/>
    <row r="746" ht="14.1" hidden="1" customHeight="1" x14ac:dyDescent="0.2"/>
    <row r="747" ht="14.1" hidden="1" customHeight="1" x14ac:dyDescent="0.2"/>
    <row r="748" ht="14.1" hidden="1" customHeight="1" x14ac:dyDescent="0.2"/>
    <row r="749" ht="14.1" hidden="1" customHeight="1" x14ac:dyDescent="0.2"/>
    <row r="750" ht="14.1" hidden="1" customHeight="1" x14ac:dyDescent="0.2"/>
    <row r="751" ht="14.1" hidden="1" customHeight="1" x14ac:dyDescent="0.2"/>
    <row r="752" ht="14.1" hidden="1" customHeight="1" x14ac:dyDescent="0.2"/>
    <row r="753" ht="14.1" hidden="1" customHeight="1" x14ac:dyDescent="0.2"/>
    <row r="754" ht="14.1" hidden="1" customHeight="1" x14ac:dyDescent="0.2"/>
    <row r="755" ht="14.1" hidden="1" customHeight="1" x14ac:dyDescent="0.2"/>
    <row r="756" ht="14.1" hidden="1" customHeight="1" x14ac:dyDescent="0.2"/>
    <row r="757" ht="14.1" hidden="1" customHeight="1" x14ac:dyDescent="0.2"/>
    <row r="758" ht="14.1" hidden="1" customHeight="1" x14ac:dyDescent="0.2"/>
    <row r="759" ht="14.1" hidden="1" customHeight="1" x14ac:dyDescent="0.2"/>
    <row r="760" ht="14.1" hidden="1" customHeight="1" x14ac:dyDescent="0.2"/>
    <row r="761" ht="14.1" hidden="1" customHeight="1" x14ac:dyDescent="0.2"/>
    <row r="762" ht="14.1" hidden="1" customHeight="1" x14ac:dyDescent="0.2"/>
    <row r="763" ht="14.1" hidden="1" customHeight="1" x14ac:dyDescent="0.2"/>
    <row r="764" ht="14.1" hidden="1" customHeight="1" x14ac:dyDescent="0.2"/>
    <row r="765" ht="14.1" hidden="1" customHeight="1" x14ac:dyDescent="0.2"/>
    <row r="766" ht="14.1" hidden="1" customHeight="1" x14ac:dyDescent="0.2"/>
    <row r="767" ht="14.1" hidden="1" customHeight="1" x14ac:dyDescent="0.2"/>
    <row r="768" ht="14.1" hidden="1" customHeight="1" x14ac:dyDescent="0.2"/>
    <row r="769" ht="14.1" hidden="1" customHeight="1" x14ac:dyDescent="0.2"/>
    <row r="770" ht="14.1" hidden="1" customHeight="1" x14ac:dyDescent="0.2"/>
    <row r="771" ht="14.1" hidden="1" customHeight="1" x14ac:dyDescent="0.2"/>
    <row r="772" ht="14.1" hidden="1" customHeight="1" x14ac:dyDescent="0.2"/>
    <row r="773" ht="14.1" hidden="1" customHeight="1" x14ac:dyDescent="0.2"/>
    <row r="774" ht="14.1" hidden="1" customHeight="1" x14ac:dyDescent="0.2"/>
    <row r="775" ht="14.1" hidden="1" customHeight="1" x14ac:dyDescent="0.2"/>
    <row r="776" ht="14.1" hidden="1" customHeight="1" x14ac:dyDescent="0.2"/>
    <row r="777" ht="14.1" hidden="1" customHeight="1" x14ac:dyDescent="0.2"/>
    <row r="778" ht="14.1" hidden="1" customHeight="1" x14ac:dyDescent="0.2"/>
    <row r="779" ht="14.1" hidden="1" customHeight="1" x14ac:dyDescent="0.2"/>
    <row r="780" ht="14.1" hidden="1" customHeight="1" x14ac:dyDescent="0.2"/>
    <row r="781" ht="14.1" hidden="1" customHeight="1" x14ac:dyDescent="0.2"/>
    <row r="782" ht="14.1" hidden="1" customHeight="1" x14ac:dyDescent="0.2"/>
    <row r="783" ht="14.1" hidden="1" customHeight="1" x14ac:dyDescent="0.2"/>
    <row r="784" ht="14.1" hidden="1" customHeight="1" x14ac:dyDescent="0.2"/>
    <row r="785" ht="14.1" hidden="1" customHeight="1" x14ac:dyDescent="0.2"/>
    <row r="786" ht="14.1" hidden="1" customHeight="1" x14ac:dyDescent="0.2"/>
    <row r="787" ht="14.1" hidden="1" customHeight="1" x14ac:dyDescent="0.2"/>
    <row r="788" ht="14.1" hidden="1" customHeight="1" x14ac:dyDescent="0.2"/>
    <row r="789" ht="14.1" hidden="1" customHeight="1" x14ac:dyDescent="0.2"/>
    <row r="790" ht="14.1" hidden="1" customHeight="1" x14ac:dyDescent="0.2"/>
    <row r="791" ht="14.1" hidden="1" customHeight="1" x14ac:dyDescent="0.2"/>
    <row r="792" ht="14.1" hidden="1" customHeight="1" x14ac:dyDescent="0.2"/>
    <row r="793" ht="14.1" hidden="1" customHeight="1" x14ac:dyDescent="0.2"/>
    <row r="794" ht="14.1" hidden="1" customHeight="1" x14ac:dyDescent="0.2"/>
    <row r="795" ht="14.1" hidden="1" customHeight="1" x14ac:dyDescent="0.2"/>
    <row r="796" ht="14.1" hidden="1" customHeight="1" x14ac:dyDescent="0.2"/>
    <row r="797" ht="14.1" hidden="1" customHeight="1" x14ac:dyDescent="0.2"/>
    <row r="798" ht="14.1" hidden="1" customHeight="1" x14ac:dyDescent="0.2"/>
    <row r="799" ht="14.1" hidden="1" customHeight="1" x14ac:dyDescent="0.2"/>
    <row r="800" ht="14.1" hidden="1" customHeight="1" x14ac:dyDescent="0.2"/>
    <row r="801" ht="14.1" hidden="1" customHeight="1" x14ac:dyDescent="0.2"/>
    <row r="802" ht="14.1" hidden="1" customHeight="1" x14ac:dyDescent="0.2"/>
    <row r="803" ht="14.1" hidden="1" customHeight="1" x14ac:dyDescent="0.2"/>
    <row r="804" ht="14.1" hidden="1" customHeight="1" x14ac:dyDescent="0.2"/>
    <row r="805" ht="14.1" hidden="1" customHeight="1" x14ac:dyDescent="0.2"/>
    <row r="806" ht="14.1" hidden="1" customHeight="1" x14ac:dyDescent="0.2"/>
    <row r="807" ht="14.1" hidden="1" customHeight="1" x14ac:dyDescent="0.2"/>
    <row r="808" ht="14.1" hidden="1" customHeight="1" x14ac:dyDescent="0.2"/>
    <row r="809" ht="14.1" hidden="1" customHeight="1" x14ac:dyDescent="0.2"/>
    <row r="810" ht="14.1" hidden="1" customHeight="1" x14ac:dyDescent="0.2"/>
    <row r="811" ht="14.1" hidden="1" customHeight="1" x14ac:dyDescent="0.2"/>
    <row r="812" ht="14.1" hidden="1" customHeight="1" x14ac:dyDescent="0.2"/>
    <row r="813" ht="14.1" hidden="1" customHeight="1" x14ac:dyDescent="0.2"/>
    <row r="814" ht="14.1" hidden="1" customHeight="1" x14ac:dyDescent="0.2"/>
    <row r="815" ht="14.1" hidden="1" customHeight="1" x14ac:dyDescent="0.2"/>
    <row r="816" ht="14.1" hidden="1" customHeight="1" x14ac:dyDescent="0.2"/>
    <row r="817" ht="14.1" hidden="1" customHeight="1" x14ac:dyDescent="0.2"/>
    <row r="818" ht="14.1" hidden="1" customHeight="1" x14ac:dyDescent="0.2"/>
    <row r="819" ht="14.1" hidden="1" customHeight="1" x14ac:dyDescent="0.2"/>
    <row r="820" ht="14.1" hidden="1" customHeight="1" x14ac:dyDescent="0.2"/>
    <row r="821" ht="14.1" hidden="1" customHeight="1" x14ac:dyDescent="0.2"/>
    <row r="822" ht="14.1" hidden="1" customHeight="1" x14ac:dyDescent="0.2"/>
    <row r="823" ht="14.1" hidden="1" customHeight="1" x14ac:dyDescent="0.2"/>
    <row r="824" ht="14.1" hidden="1" customHeight="1" x14ac:dyDescent="0.2"/>
    <row r="825" ht="14.1" hidden="1" customHeight="1" x14ac:dyDescent="0.2"/>
    <row r="826" ht="14.1" hidden="1" customHeight="1" x14ac:dyDescent="0.2"/>
    <row r="827" ht="14.1" hidden="1" customHeight="1" x14ac:dyDescent="0.2"/>
    <row r="828" ht="14.1" hidden="1" customHeight="1" x14ac:dyDescent="0.2"/>
    <row r="829" ht="14.1" hidden="1" customHeight="1" x14ac:dyDescent="0.2"/>
    <row r="830" ht="14.1" hidden="1" customHeight="1" x14ac:dyDescent="0.2"/>
    <row r="831" ht="14.1" hidden="1" customHeight="1" x14ac:dyDescent="0.2"/>
    <row r="832" ht="14.1" hidden="1" customHeight="1" x14ac:dyDescent="0.2"/>
    <row r="833" ht="14.1" hidden="1" customHeight="1" x14ac:dyDescent="0.2"/>
    <row r="834" ht="14.1" hidden="1" customHeight="1" x14ac:dyDescent="0.2"/>
    <row r="835" ht="14.1" hidden="1" customHeight="1" x14ac:dyDescent="0.2"/>
    <row r="836" ht="14.1" hidden="1" customHeight="1" x14ac:dyDescent="0.2"/>
    <row r="837" ht="14.1" hidden="1" customHeight="1" x14ac:dyDescent="0.2"/>
    <row r="838" ht="14.1" hidden="1" customHeight="1" x14ac:dyDescent="0.2"/>
    <row r="839" ht="14.1" hidden="1" customHeight="1" x14ac:dyDescent="0.2"/>
    <row r="840" ht="14.1" hidden="1" customHeight="1" x14ac:dyDescent="0.2"/>
    <row r="841" ht="14.1" hidden="1" customHeight="1" x14ac:dyDescent="0.2"/>
    <row r="842" ht="14.1" hidden="1" customHeight="1" x14ac:dyDescent="0.2"/>
    <row r="843" ht="14.1" hidden="1" customHeight="1" x14ac:dyDescent="0.2"/>
    <row r="844" ht="14.1" hidden="1" customHeight="1" x14ac:dyDescent="0.2"/>
    <row r="845" ht="14.1" hidden="1" customHeight="1" x14ac:dyDescent="0.2"/>
    <row r="846" ht="14.1" hidden="1" customHeight="1" x14ac:dyDescent="0.2"/>
    <row r="847" ht="14.1" hidden="1" customHeight="1" x14ac:dyDescent="0.2"/>
    <row r="848" ht="14.1" hidden="1" customHeight="1" x14ac:dyDescent="0.2"/>
    <row r="849" ht="14.1" hidden="1" customHeight="1" x14ac:dyDescent="0.2"/>
    <row r="850" ht="14.1" hidden="1" customHeight="1" x14ac:dyDescent="0.2"/>
    <row r="851" ht="14.1" hidden="1" customHeight="1" x14ac:dyDescent="0.2"/>
    <row r="852" ht="14.1" hidden="1" customHeight="1" x14ac:dyDescent="0.2"/>
    <row r="853" ht="14.1" hidden="1" customHeight="1" x14ac:dyDescent="0.2"/>
    <row r="854" ht="14.1" hidden="1" customHeight="1" x14ac:dyDescent="0.2"/>
    <row r="855" ht="14.1" hidden="1" customHeight="1" x14ac:dyDescent="0.2"/>
    <row r="856" ht="14.1" hidden="1" customHeight="1" x14ac:dyDescent="0.2"/>
    <row r="857" ht="14.1" hidden="1" customHeight="1" x14ac:dyDescent="0.2"/>
    <row r="858" ht="14.1" hidden="1" customHeight="1" x14ac:dyDescent="0.2"/>
    <row r="859" ht="14.1" hidden="1" customHeight="1" x14ac:dyDescent="0.2"/>
    <row r="860" ht="14.1" hidden="1" customHeight="1" x14ac:dyDescent="0.2"/>
    <row r="861" ht="14.1" hidden="1" customHeight="1" x14ac:dyDescent="0.2"/>
    <row r="862" ht="14.1" hidden="1" customHeight="1" x14ac:dyDescent="0.2"/>
    <row r="863" ht="14.1" hidden="1" customHeight="1" x14ac:dyDescent="0.2"/>
    <row r="864" ht="14.1" hidden="1" customHeight="1" x14ac:dyDescent="0.2"/>
    <row r="865" ht="14.1" hidden="1" customHeight="1" x14ac:dyDescent="0.2"/>
    <row r="866" ht="14.1" hidden="1" customHeight="1" x14ac:dyDescent="0.2"/>
    <row r="867" ht="14.1" hidden="1" customHeight="1" x14ac:dyDescent="0.2"/>
    <row r="868" ht="14.1" hidden="1" customHeight="1" x14ac:dyDescent="0.2"/>
    <row r="869" ht="14.1" hidden="1" customHeight="1" x14ac:dyDescent="0.2"/>
    <row r="870" ht="14.1" hidden="1" customHeight="1" x14ac:dyDescent="0.2"/>
    <row r="871" ht="14.1" hidden="1" customHeight="1" x14ac:dyDescent="0.2"/>
    <row r="872" ht="14.1" hidden="1" customHeight="1" x14ac:dyDescent="0.2"/>
    <row r="873" ht="14.1" hidden="1" customHeight="1" x14ac:dyDescent="0.2"/>
    <row r="874" ht="14.1" hidden="1" customHeight="1" x14ac:dyDescent="0.2"/>
    <row r="875" ht="14.1" hidden="1" customHeight="1" x14ac:dyDescent="0.2"/>
    <row r="876" ht="14.1" hidden="1" customHeight="1" x14ac:dyDescent="0.2"/>
    <row r="877" ht="14.1" hidden="1" customHeight="1" x14ac:dyDescent="0.2"/>
    <row r="878" ht="14.1" hidden="1" customHeight="1" x14ac:dyDescent="0.2"/>
    <row r="879" ht="14.1" hidden="1" customHeight="1" x14ac:dyDescent="0.2"/>
    <row r="880" ht="14.1" hidden="1" customHeight="1" x14ac:dyDescent="0.2"/>
    <row r="881" ht="14.1" hidden="1" customHeight="1" x14ac:dyDescent="0.2"/>
    <row r="882" ht="14.1" hidden="1" customHeight="1" x14ac:dyDescent="0.2"/>
    <row r="883" ht="14.1" hidden="1" customHeight="1" x14ac:dyDescent="0.2"/>
    <row r="884" ht="14.1" hidden="1" customHeight="1" x14ac:dyDescent="0.2"/>
    <row r="885" ht="14.1" hidden="1" customHeight="1" x14ac:dyDescent="0.2"/>
    <row r="886" ht="14.1" hidden="1" customHeight="1" x14ac:dyDescent="0.2"/>
    <row r="887" ht="14.1" hidden="1" customHeight="1" x14ac:dyDescent="0.2"/>
    <row r="888" ht="14.1" hidden="1" customHeight="1" x14ac:dyDescent="0.2"/>
    <row r="889" ht="14.1" hidden="1" customHeight="1" x14ac:dyDescent="0.2"/>
    <row r="890" ht="14.1" hidden="1" customHeight="1" x14ac:dyDescent="0.2"/>
    <row r="891" ht="14.1" hidden="1" customHeight="1" x14ac:dyDescent="0.2"/>
    <row r="892" ht="14.1" hidden="1" customHeight="1" x14ac:dyDescent="0.2"/>
    <row r="893" ht="14.1" hidden="1" customHeight="1" x14ac:dyDescent="0.2"/>
    <row r="894" ht="14.1" hidden="1" customHeight="1" x14ac:dyDescent="0.2"/>
    <row r="895" ht="14.1" hidden="1" customHeight="1" x14ac:dyDescent="0.2"/>
    <row r="896" ht="14.1" hidden="1" customHeight="1" x14ac:dyDescent="0.2"/>
    <row r="897" ht="14.1" hidden="1" customHeight="1" x14ac:dyDescent="0.2"/>
    <row r="898" ht="14.1" hidden="1" customHeight="1" x14ac:dyDescent="0.2"/>
    <row r="899" ht="14.1" hidden="1" customHeight="1" x14ac:dyDescent="0.2"/>
    <row r="900" ht="14.1" hidden="1" customHeight="1" x14ac:dyDescent="0.2"/>
    <row r="901" ht="14.1" hidden="1" customHeight="1" x14ac:dyDescent="0.2"/>
    <row r="902" ht="14.1" hidden="1" customHeight="1" x14ac:dyDescent="0.2"/>
    <row r="903" ht="14.1" hidden="1" customHeight="1" x14ac:dyDescent="0.2"/>
    <row r="904" ht="14.1" hidden="1" customHeight="1" x14ac:dyDescent="0.2"/>
    <row r="905" ht="14.1" hidden="1" customHeight="1" x14ac:dyDescent="0.2"/>
    <row r="906" ht="14.1" hidden="1" customHeight="1" x14ac:dyDescent="0.2"/>
    <row r="907" ht="14.1" hidden="1" customHeight="1" x14ac:dyDescent="0.2"/>
    <row r="908" ht="14.1" hidden="1" customHeight="1" x14ac:dyDescent="0.2"/>
    <row r="909" ht="14.1" hidden="1" customHeight="1" x14ac:dyDescent="0.2"/>
    <row r="910" ht="14.1" hidden="1" customHeight="1" x14ac:dyDescent="0.2"/>
    <row r="911" ht="14.1" hidden="1" customHeight="1" x14ac:dyDescent="0.2"/>
    <row r="912" ht="14.1" hidden="1" customHeight="1" x14ac:dyDescent="0.2"/>
    <row r="913" ht="14.1" hidden="1" customHeight="1" x14ac:dyDescent="0.2"/>
    <row r="914" ht="14.1" hidden="1" customHeight="1" x14ac:dyDescent="0.2"/>
    <row r="915" ht="14.1" hidden="1" customHeight="1" x14ac:dyDescent="0.2"/>
    <row r="916" ht="14.1" hidden="1" customHeight="1" x14ac:dyDescent="0.2"/>
    <row r="917" ht="14.1" hidden="1" customHeight="1" x14ac:dyDescent="0.2"/>
    <row r="918" ht="14.1" hidden="1" customHeight="1" x14ac:dyDescent="0.2"/>
    <row r="919" ht="14.1" hidden="1" customHeight="1" x14ac:dyDescent="0.2"/>
    <row r="920" ht="14.1" hidden="1" customHeight="1" x14ac:dyDescent="0.2"/>
    <row r="921" ht="14.1" hidden="1" customHeight="1" x14ac:dyDescent="0.2"/>
    <row r="922" ht="14.1" hidden="1" customHeight="1" x14ac:dyDescent="0.2"/>
    <row r="923" ht="14.1" hidden="1" customHeight="1" x14ac:dyDescent="0.2"/>
    <row r="924" ht="14.1" hidden="1" customHeight="1" x14ac:dyDescent="0.2"/>
    <row r="925" ht="14.1" hidden="1" customHeight="1" x14ac:dyDescent="0.2"/>
    <row r="926" ht="14.1" hidden="1" customHeight="1" x14ac:dyDescent="0.2"/>
    <row r="927" ht="14.1" hidden="1" customHeight="1" x14ac:dyDescent="0.2"/>
    <row r="928" ht="14.1" hidden="1" customHeight="1" x14ac:dyDescent="0.2"/>
    <row r="929" ht="14.1" hidden="1" customHeight="1" x14ac:dyDescent="0.2"/>
    <row r="930" ht="14.1" hidden="1" customHeight="1" x14ac:dyDescent="0.2"/>
    <row r="931" ht="14.1" hidden="1" customHeight="1" x14ac:dyDescent="0.2"/>
    <row r="932" ht="14.1" hidden="1" customHeight="1" x14ac:dyDescent="0.2"/>
    <row r="933" ht="14.1" hidden="1" customHeight="1" x14ac:dyDescent="0.2"/>
    <row r="934" ht="14.1" hidden="1" customHeight="1" x14ac:dyDescent="0.2"/>
    <row r="935" ht="14.1" hidden="1" customHeight="1" x14ac:dyDescent="0.2"/>
    <row r="936" ht="14.1" hidden="1" customHeight="1" x14ac:dyDescent="0.2"/>
    <row r="937" ht="14.1" hidden="1" customHeight="1" x14ac:dyDescent="0.2"/>
    <row r="938" ht="14.1" hidden="1" customHeight="1" x14ac:dyDescent="0.2"/>
    <row r="939" ht="14.1" hidden="1" customHeight="1" x14ac:dyDescent="0.2"/>
    <row r="940" ht="14.1" hidden="1" customHeight="1" x14ac:dyDescent="0.2"/>
    <row r="941" ht="14.1" hidden="1" customHeight="1" x14ac:dyDescent="0.2"/>
    <row r="942" ht="14.1" hidden="1" customHeight="1" x14ac:dyDescent="0.2"/>
    <row r="943" ht="14.1" hidden="1" customHeight="1" x14ac:dyDescent="0.2"/>
    <row r="944" ht="14.1" hidden="1" customHeight="1" x14ac:dyDescent="0.2"/>
    <row r="945" ht="14.1" hidden="1" customHeight="1" x14ac:dyDescent="0.2"/>
    <row r="946" ht="14.1" hidden="1" customHeight="1" x14ac:dyDescent="0.2"/>
    <row r="947" ht="14.1" hidden="1" customHeight="1" x14ac:dyDescent="0.2"/>
    <row r="948" ht="14.1" hidden="1" customHeight="1" x14ac:dyDescent="0.2"/>
    <row r="949" ht="14.1" hidden="1" customHeight="1" x14ac:dyDescent="0.2"/>
    <row r="950" ht="14.1" hidden="1" customHeight="1" x14ac:dyDescent="0.2"/>
    <row r="951" ht="14.1" hidden="1" customHeight="1" x14ac:dyDescent="0.2"/>
    <row r="952" ht="14.1" hidden="1" customHeight="1" x14ac:dyDescent="0.2"/>
    <row r="953" ht="14.1" hidden="1" customHeight="1" x14ac:dyDescent="0.2"/>
    <row r="954" ht="14.1" hidden="1" customHeight="1" x14ac:dyDescent="0.2"/>
    <row r="955" ht="14.1" hidden="1" customHeight="1" x14ac:dyDescent="0.2"/>
    <row r="956" ht="14.1" hidden="1" customHeight="1" x14ac:dyDescent="0.2"/>
    <row r="957" ht="14.1" hidden="1" customHeight="1" x14ac:dyDescent="0.2"/>
    <row r="958" ht="14.1" hidden="1" customHeight="1" x14ac:dyDescent="0.2"/>
    <row r="959" ht="14.1" hidden="1" customHeight="1" x14ac:dyDescent="0.2"/>
    <row r="960" ht="14.1" hidden="1" customHeight="1" x14ac:dyDescent="0.2"/>
    <row r="961" ht="14.1" hidden="1" customHeight="1" x14ac:dyDescent="0.2"/>
    <row r="962" ht="14.1" hidden="1" customHeight="1" x14ac:dyDescent="0.2"/>
    <row r="963" ht="14.1" hidden="1" customHeight="1" x14ac:dyDescent="0.2"/>
    <row r="964" ht="14.1" hidden="1" customHeight="1" x14ac:dyDescent="0.2"/>
    <row r="965" ht="14.1" hidden="1" customHeight="1" x14ac:dyDescent="0.2"/>
    <row r="966" ht="14.1" hidden="1" customHeight="1" x14ac:dyDescent="0.2"/>
    <row r="967" ht="14.1" hidden="1" customHeight="1" x14ac:dyDescent="0.2"/>
    <row r="968" ht="14.1" hidden="1" customHeight="1" x14ac:dyDescent="0.2"/>
    <row r="969" ht="14.1" hidden="1" customHeight="1" x14ac:dyDescent="0.2"/>
    <row r="970" ht="14.1" hidden="1" customHeight="1" x14ac:dyDescent="0.2"/>
    <row r="971" ht="14.1" hidden="1" customHeight="1" x14ac:dyDescent="0.2"/>
    <row r="972" ht="14.1" hidden="1" customHeight="1" x14ac:dyDescent="0.2"/>
    <row r="973" ht="14.1" hidden="1" customHeight="1" x14ac:dyDescent="0.2"/>
    <row r="974" ht="14.1" hidden="1" customHeight="1" x14ac:dyDescent="0.2"/>
    <row r="975" ht="14.1" hidden="1" customHeight="1" x14ac:dyDescent="0.2"/>
  </sheetData>
  <sheetProtection algorithmName="SHA-512" hashValue="pc5ADO8F1QjNj5GY8b1a4dQGOwzNYRwkEiQw2taEWTChAI2s1uco6YtJOMNL+pdE1T2phlzd+U4zcTjKHdsaRw==" saltValue="ekhnfAI4GAXCYlfgtMnl6g==" spinCount="100000" sheet="1" objects="1" scenarios="1" selectLockedCells="1" autoFilter="0"/>
  <mergeCells count="22">
    <mergeCell ref="H5:J5"/>
    <mergeCell ref="B6:C6"/>
    <mergeCell ref="E6:F6"/>
    <mergeCell ref="H6:J6"/>
    <mergeCell ref="B11:C11"/>
    <mergeCell ref="E11:F11"/>
    <mergeCell ref="H7:J7"/>
    <mergeCell ref="B9:E9"/>
    <mergeCell ref="E10:F10"/>
    <mergeCell ref="B2:G2"/>
    <mergeCell ref="B5:C5"/>
    <mergeCell ref="E5:F5"/>
    <mergeCell ref="B7:C7"/>
    <mergeCell ref="E7:F7"/>
    <mergeCell ref="B76:I76"/>
    <mergeCell ref="F77:H77"/>
    <mergeCell ref="B21:E21"/>
    <mergeCell ref="E22:F22"/>
    <mergeCell ref="B32:F32"/>
    <mergeCell ref="E43:G43"/>
    <mergeCell ref="H43:K43"/>
    <mergeCell ref="B69:E69"/>
  </mergeCells>
  <conditionalFormatting sqref="B26:K27 B29:K30 B17:K17 B24:K24 B35:K35">
    <cfRule type="expression" dxfId="15" priority="8">
      <formula>OR(_Dach_Typ="Fdg",_Dach_Typ="Fd")</formula>
    </cfRule>
  </conditionalFormatting>
  <conditionalFormatting sqref="B39:K39">
    <cfRule type="expression" dxfId="14" priority="5">
      <formula>AND(ISNUMBER($E$38),OR($E$27&gt;0,$E$30&gt;0))</formula>
    </cfRule>
  </conditionalFormatting>
  <conditionalFormatting sqref="E17">
    <cfRule type="expression" dxfId="13" priority="2">
      <formula>OR(_Dach_Typ="Fd",_Dach_Typ="Fdg")</formula>
    </cfRule>
  </conditionalFormatting>
  <conditionalFormatting sqref="E39">
    <cfRule type="expression" dxfId="12" priority="6">
      <formula>AND(ISNUMBER($E$38),OR($E$27&gt;0,$E$30&gt;0))</formula>
    </cfRule>
  </conditionalFormatting>
  <conditionalFormatting sqref="G26 G29">
    <cfRule type="expression" dxfId="11" priority="7">
      <formula>OR(_Dach_Typ="Fdg",_Dach_Typ="Fd")</formula>
    </cfRule>
  </conditionalFormatting>
  <conditionalFormatting sqref="G40">
    <cfRule type="expression" dxfId="10" priority="3">
      <formula>$E$40=0</formula>
    </cfRule>
  </conditionalFormatting>
  <conditionalFormatting sqref="G41">
    <cfRule type="expression" dxfId="9" priority="4">
      <formula>$E$41=0</formula>
    </cfRule>
  </conditionalFormatting>
  <conditionalFormatting sqref="G26:I26 G29:I29">
    <cfRule type="expression" dxfId="8" priority="1">
      <formula>$G26&gt;$E25</formula>
    </cfRule>
  </conditionalFormatting>
  <dataValidations count="6">
    <dataValidation type="custom" allowBlank="1" showInputMessage="1" showErrorMessage="1" errorTitle="Falsche Eingabe" error="Feld nur für Dachtyp Flachdach / Flachdach begrünt ausfüllen_x000a__x000a_Diese Zahl muss kleiner oder gleich wie die Stückzahl vom gestzlichen Minimum sein." sqref="G29" xr:uid="{52A94FFE-1967-4731-B2DD-D5D5DF29406A}">
      <formula1>AND(G29&lt;=E28,G29&gt;0)</formula1>
    </dataValidation>
    <dataValidation type="custom" allowBlank="1" showInputMessage="1" showErrorMessage="1" errorTitle="Unzulässige Eingabe" error="Der Wert muss kleiner der Stückzahl der technischen Vollbelegung sein." sqref="E28" xr:uid="{8722A44F-A9B9-418A-B28B-F6CBD026F1B5}">
      <formula1>E28&lt;=E25</formula1>
    </dataValidation>
    <dataValidation type="custom" allowBlank="1" showErrorMessage="1" errorTitle="Falsche Eingabe" error="Feld nur für Dachtyp Flachdach / Flachdach begrünt ausfüllen_x000a__x000a_Diese Zahl muss kleiner oder gleich wie die Stückzahl der technischen Vollbelegung sein." promptTitle="Nur bei Flachdach erforderlich" sqref="G26" xr:uid="{74FA0664-A161-4DDF-9506-DA6F619841BB}">
      <formula1>AND(G26&lt;=E25,G26&gt;0)</formula1>
    </dataValidation>
    <dataValidation type="list" allowBlank="1" showInputMessage="1" showErrorMessage="1" sqref="E22" xr:uid="{A6CFB061-B2C0-477E-AF28-2BDCDC541ADE}">
      <formula1>$G$22:$H$22</formula1>
    </dataValidation>
    <dataValidation type="list" allowBlank="1" showInputMessage="1" showErrorMessage="1" sqref="E11" xr:uid="{BBDC50D4-56B8-4B81-8EDB-62F4F5F579C8}">
      <formula1>_Liste_Dachtypen</formula1>
    </dataValidation>
    <dataValidation type="list" allowBlank="1" showInputMessage="1" showErrorMessage="1" sqref="E16:E17" xr:uid="{F2923678-8BDA-4F8F-A2A9-BD3C95339C01}">
      <formula1>_Liste_Blendung</formula1>
    </dataValidation>
  </dataValidations>
  <pageMargins left="0.55118110236220474" right="0.51181102362204722" top="0.74803149606299213" bottom="0.70866141732283472" header="0.31496062992125984" footer="0.31496062992125984"/>
  <pageSetup paperSize="9" scale="65" fitToHeight="0" orientation="portrait" r:id="rId1"/>
  <headerFooter>
    <oddHeader xml:space="preserve">&amp;L&amp;8         Planungshilfe Nachweis wirtschaftliche Unverhältnismässigkeit&amp;R&amp;8Stadt Luzern </oddHeader>
    <oddFooter xml:space="preserve">&amp;L&amp;8         &amp;P | &amp;N&amp;R&amp;8Nächste Revision 12.12.2026 </oddFooter>
    <firstHeader>&amp;L&amp;G</first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12364-D190-4821-A828-53FF106EDAB2}">
  <sheetPr codeName="Tabelle12">
    <pageSetUpPr fitToPage="1"/>
  </sheetPr>
  <dimension ref="A1:R975"/>
  <sheetViews>
    <sheetView showGridLines="0" view="pageLayout" topLeftCell="A2" zoomScaleNormal="100" zoomScaleSheetLayoutView="100" workbookViewId="0">
      <selection activeCell="E10" sqref="E10:F10"/>
    </sheetView>
  </sheetViews>
  <sheetFormatPr baseColWidth="10" defaultColWidth="0" defaultRowHeight="0" customHeight="1" zeroHeight="1" x14ac:dyDescent="0.2"/>
  <cols>
    <col min="1" max="1" width="3.5703125" style="257" customWidth="1"/>
    <col min="2" max="2" width="8.28515625" customWidth="1"/>
    <col min="3" max="3" width="25.5703125" customWidth="1"/>
    <col min="4" max="4" width="24.140625" style="14" hidden="1" customWidth="1"/>
    <col min="5" max="5" width="15" customWidth="1"/>
    <col min="6" max="6" width="17.5703125" customWidth="1"/>
    <col min="7" max="8" width="14.28515625" customWidth="1"/>
    <col min="9" max="10" width="11.42578125" customWidth="1"/>
    <col min="11" max="11" width="18.42578125" customWidth="1"/>
    <col min="12" max="12" width="6" customWidth="1"/>
    <col min="13" max="13" width="34.28515625" hidden="1" customWidth="1"/>
    <col min="14" max="18" width="0" hidden="1" customWidth="1"/>
    <col min="19" max="16384" width="11.42578125" hidden="1"/>
  </cols>
  <sheetData>
    <row r="1" spans="1:18" ht="12.75" hidden="1" x14ac:dyDescent="0.2">
      <c r="A1" s="262"/>
      <c r="B1" s="14" t="str">
        <f ca="1">MID(CELL("dateiname",B2),SEARCH("]",CELL("dateiname",B2))+1,31)</f>
        <v>Dachfläche (6)</v>
      </c>
      <c r="C1" s="14"/>
      <c r="E1" s="14"/>
      <c r="F1" s="14"/>
      <c r="G1" s="14"/>
      <c r="H1" s="14"/>
      <c r="I1" s="14"/>
      <c r="J1" s="14"/>
      <c r="K1" s="14"/>
    </row>
    <row r="2" spans="1:18" s="12" customFormat="1" ht="21" customHeight="1" x14ac:dyDescent="0.3">
      <c r="A2" s="259"/>
      <c r="B2" s="713" t="str">
        <f t="shared" ref="B2" ca="1" si="0">"Zusammenstellung Kennwerte "&amp;B1</f>
        <v>Zusammenstellung Kennwerte Dachfläche (6)</v>
      </c>
      <c r="C2" s="713"/>
      <c r="D2" s="713"/>
      <c r="E2" s="713"/>
      <c r="F2" s="713"/>
      <c r="G2" s="713"/>
      <c r="N2"/>
      <c r="O2"/>
      <c r="P2"/>
      <c r="Q2"/>
      <c r="R2"/>
    </row>
    <row r="3" spans="1:18" ht="12.75" x14ac:dyDescent="0.2"/>
    <row r="4" spans="1:18" s="12" customFormat="1" ht="20.25" x14ac:dyDescent="0.3">
      <c r="A4" s="259"/>
      <c r="B4" s="286" t="s">
        <v>26</v>
      </c>
      <c r="D4" s="150"/>
      <c r="N4"/>
      <c r="O4"/>
      <c r="P4"/>
      <c r="Q4"/>
      <c r="R4"/>
    </row>
    <row r="5" spans="1:18" s="16" customFormat="1" ht="19.899999999999999" customHeight="1" x14ac:dyDescent="0.25">
      <c r="A5" s="260"/>
      <c r="B5" s="684" t="str">
        <f>'3 Bericht'!B2</f>
        <v>Projektname</v>
      </c>
      <c r="C5" s="685"/>
      <c r="D5" s="509"/>
      <c r="E5" s="714">
        <f>_Projektname</f>
        <v>0</v>
      </c>
      <c r="F5" s="715"/>
      <c r="G5" s="575"/>
      <c r="H5" s="706" t="str">
        <f>'3 Bericht'!J2</f>
        <v>Netzversorger</v>
      </c>
      <c r="I5" s="707"/>
      <c r="J5" s="707"/>
      <c r="K5" s="510">
        <f>_Netzversorger</f>
        <v>0</v>
      </c>
    </row>
    <row r="6" spans="1:18" s="16" customFormat="1" ht="19.899999999999999" customHeight="1" x14ac:dyDescent="0.25">
      <c r="A6" s="260"/>
      <c r="B6" s="686" t="str">
        <f>'3 Bericht'!B3</f>
        <v>Adresse</v>
      </c>
      <c r="C6" s="687"/>
      <c r="D6" s="511"/>
      <c r="E6" s="694">
        <f>_Adresse</f>
        <v>0</v>
      </c>
      <c r="F6" s="695"/>
      <c r="G6" s="575"/>
      <c r="H6" s="708" t="str">
        <f>'3 Bericht'!J3</f>
        <v>Fertigstellung (geplant)</v>
      </c>
      <c r="I6" s="709"/>
      <c r="J6" s="709"/>
      <c r="K6" s="512">
        <f>_Datum_IBS</f>
        <v>0</v>
      </c>
    </row>
    <row r="7" spans="1:18" s="16" customFormat="1" ht="19.899999999999999" customHeight="1" x14ac:dyDescent="0.25">
      <c r="A7" s="260"/>
      <c r="B7" s="686" t="str">
        <f>'3 Bericht'!B4</f>
        <v>PLZ Ort</v>
      </c>
      <c r="C7" s="687"/>
      <c r="D7" s="511"/>
      <c r="E7" s="694">
        <f>_PLZ</f>
        <v>0</v>
      </c>
      <c r="F7" s="695"/>
      <c r="G7" s="575"/>
      <c r="H7" s="708" t="str">
        <f>'3 Bericht'!J5</f>
        <v>MWSt. pflichtig</v>
      </c>
      <c r="I7" s="709"/>
      <c r="J7" s="709"/>
      <c r="K7" s="513" t="str">
        <f>'3 Bericht'!M5</f>
        <v>Nein</v>
      </c>
    </row>
    <row r="8" spans="1:18" ht="12.75" x14ac:dyDescent="0.2"/>
    <row r="9" spans="1:18" s="12" customFormat="1" ht="20.25" x14ac:dyDescent="0.3">
      <c r="A9" s="259"/>
      <c r="B9" s="679" t="s">
        <v>66</v>
      </c>
      <c r="C9" s="679"/>
      <c r="D9" s="679"/>
      <c r="E9" s="679"/>
      <c r="M9" s="16"/>
      <c r="N9"/>
      <c r="O9"/>
      <c r="P9"/>
      <c r="Q9"/>
      <c r="R9"/>
    </row>
    <row r="10" spans="1:18" s="16" customFormat="1" ht="19.899999999999999" customHeight="1" x14ac:dyDescent="0.25">
      <c r="A10" s="260"/>
      <c r="B10" s="303" t="s">
        <v>80</v>
      </c>
      <c r="C10" s="303"/>
      <c r="D10" s="516" t="s">
        <v>113</v>
      </c>
      <c r="E10" s="716"/>
      <c r="F10" s="716"/>
      <c r="G10" s="517"/>
      <c r="H10" s="303"/>
      <c r="I10" s="303"/>
      <c r="J10" s="303"/>
      <c r="K10" s="303"/>
    </row>
    <row r="11" spans="1:18" s="16" customFormat="1" ht="19.899999999999999" customHeight="1" x14ac:dyDescent="0.25">
      <c r="A11" s="260"/>
      <c r="B11" s="710" t="s">
        <v>251</v>
      </c>
      <c r="C11" s="710"/>
      <c r="D11" s="516" t="s">
        <v>418</v>
      </c>
      <c r="E11" s="711"/>
      <c r="F11" s="712"/>
      <c r="G11" s="303" t="s">
        <v>541</v>
      </c>
      <c r="H11" s="303"/>
      <c r="I11" s="303"/>
      <c r="J11" s="303"/>
      <c r="K11" s="303"/>
    </row>
    <row r="12" spans="1:18" s="21" customFormat="1" ht="19.899999999999999" hidden="1" customHeight="1" x14ac:dyDescent="0.25">
      <c r="A12" s="261"/>
      <c r="B12" s="518"/>
      <c r="C12" s="518"/>
      <c r="D12" s="516" t="s">
        <v>270</v>
      </c>
      <c r="E12" s="519" t="str">
        <f>IFERROR(VLOOKUP(E11,Basisdaten!B151:C154,2,FALSE),"")</f>
        <v/>
      </c>
      <c r="F12" s="520"/>
      <c r="G12" s="516"/>
      <c r="H12" s="516"/>
      <c r="I12" s="516"/>
      <c r="J12" s="516"/>
      <c r="K12" s="516"/>
      <c r="L12" s="16"/>
    </row>
    <row r="13" spans="1:18" s="16" customFormat="1" ht="19.899999999999999" customHeight="1" x14ac:dyDescent="0.25">
      <c r="A13" s="260"/>
      <c r="B13" s="303" t="s">
        <v>278</v>
      </c>
      <c r="C13" s="303"/>
      <c r="D13" s="516" t="s">
        <v>100</v>
      </c>
      <c r="E13" s="521"/>
      <c r="F13" s="522" t="s">
        <v>542</v>
      </c>
      <c r="G13" s="303" t="s">
        <v>279</v>
      </c>
      <c r="H13" s="303"/>
      <c r="I13" s="303"/>
      <c r="J13" s="303"/>
      <c r="K13" s="303"/>
    </row>
    <row r="14" spans="1:18" s="16" customFormat="1" ht="19.899999999999999" customHeight="1" x14ac:dyDescent="0.25">
      <c r="A14" s="260"/>
      <c r="B14" s="297" t="str">
        <f>IF(OR(_Dach_Typ="Fdg",_Dach_Typ="Fd"),"Hauptausrichtung","Ausrichtung")</f>
        <v>Ausrichtung</v>
      </c>
      <c r="C14" s="297"/>
      <c r="D14" s="437" t="s">
        <v>34</v>
      </c>
      <c r="E14" s="523"/>
      <c r="F14" s="524" t="s">
        <v>46</v>
      </c>
      <c r="G14" s="297" t="s">
        <v>58</v>
      </c>
      <c r="H14" s="297"/>
      <c r="I14" s="297"/>
      <c r="J14" s="297"/>
      <c r="K14" s="297"/>
    </row>
    <row r="15" spans="1:18" s="16" customFormat="1" ht="19.899999999999999" customHeight="1" x14ac:dyDescent="0.25">
      <c r="A15" s="260"/>
      <c r="B15" s="297" t="str">
        <f>IF(OR(_Dach_Typ="Fdg",_Dach_Typ="Fd"),"Modulneigung","Dachneigung")</f>
        <v>Dachneigung</v>
      </c>
      <c r="C15" s="297"/>
      <c r="D15" s="437" t="s">
        <v>35</v>
      </c>
      <c r="E15" s="523"/>
      <c r="F15" s="524" t="s">
        <v>46</v>
      </c>
      <c r="G15" s="297" t="s">
        <v>59</v>
      </c>
      <c r="H15" s="297"/>
      <c r="I15" s="297"/>
      <c r="J15" s="297"/>
      <c r="K15" s="297"/>
    </row>
    <row r="16" spans="1:18" s="16" customFormat="1" ht="19.899999999999999" customHeight="1" x14ac:dyDescent="0.25">
      <c r="A16" s="260"/>
      <c r="B16" s="297" t="str">
        <f>IF(OR(_Dach_Typ="Fdg",_Dach_Typ="Fd"),"Blendung in Hauptausrichtung","Blendung")</f>
        <v>Blendung</v>
      </c>
      <c r="C16" s="297"/>
      <c r="D16" s="437" t="s">
        <v>305</v>
      </c>
      <c r="E16" s="525"/>
      <c r="F16" s="524"/>
      <c r="G16" s="297" t="str">
        <f>IFERROR(VLOOKUP(E16,_Reflektionstyp,2,FALSE),"Abklärung erforderlich")</f>
        <v>Abklärung erforderlich</v>
      </c>
      <c r="H16" s="297"/>
      <c r="I16" s="297"/>
      <c r="J16" s="297"/>
      <c r="K16" s="297"/>
      <c r="M16" s="218"/>
    </row>
    <row r="17" spans="1:18" s="16" customFormat="1" ht="19.899999999999999" customHeight="1" x14ac:dyDescent="0.25">
      <c r="A17" s="260"/>
      <c r="B17" s="526" t="s">
        <v>307</v>
      </c>
      <c r="C17" s="527"/>
      <c r="D17" s="528" t="s">
        <v>306</v>
      </c>
      <c r="E17" s="529" t="s">
        <v>274</v>
      </c>
      <c r="F17" s="530"/>
      <c r="G17" s="527" t="str">
        <f>IFERROR(VLOOKUP(E17,_Reflektionstyp,2,FALSE),"Abklärung erforderlich")</f>
        <v>Reflektionen klären! (unkritisch / kritisch)</v>
      </c>
      <c r="H17" s="527"/>
      <c r="I17" s="527"/>
      <c r="J17" s="527"/>
      <c r="K17" s="527"/>
    </row>
    <row r="18" spans="1:18" s="14" customFormat="1" ht="15" hidden="1" customHeight="1" x14ac:dyDescent="0.2">
      <c r="A18" s="262"/>
      <c r="C18" s="14" t="s">
        <v>65</v>
      </c>
      <c r="E18" s="14">
        <f>RADIANS(E14)</f>
        <v>0</v>
      </c>
      <c r="L18"/>
    </row>
    <row r="19" spans="1:18" s="14" customFormat="1" ht="12.75" hidden="1" x14ac:dyDescent="0.2">
      <c r="A19" s="262"/>
      <c r="C19" s="14" t="s">
        <v>62</v>
      </c>
      <c r="E19" s="14">
        <f>IF(_Dach_Typ=INDEX(_Liste_Dachtypen,1),0,-RADIANS(E15))</f>
        <v>0</v>
      </c>
      <c r="L19"/>
    </row>
    <row r="20" spans="1:18" ht="12.75" x14ac:dyDescent="0.2"/>
    <row r="21" spans="1:18" s="12" customFormat="1" ht="20.25" x14ac:dyDescent="0.3">
      <c r="A21" s="259"/>
      <c r="B21" s="679" t="s">
        <v>42</v>
      </c>
      <c r="C21" s="679"/>
      <c r="D21" s="679"/>
      <c r="E21" s="679"/>
      <c r="N21"/>
      <c r="O21"/>
      <c r="P21"/>
      <c r="Q21"/>
      <c r="R21"/>
    </row>
    <row r="22" spans="1:18" s="16" customFormat="1" ht="19.899999999999999" customHeight="1" x14ac:dyDescent="0.25">
      <c r="A22" s="260"/>
      <c r="B22" s="303" t="s">
        <v>43</v>
      </c>
      <c r="C22" s="303"/>
      <c r="D22" s="516" t="s">
        <v>67</v>
      </c>
      <c r="E22" s="718"/>
      <c r="F22" s="718"/>
      <c r="G22" s="303" t="s">
        <v>84</v>
      </c>
      <c r="H22" s="303" t="s">
        <v>85</v>
      </c>
      <c r="I22" s="303"/>
      <c r="J22" s="303"/>
      <c r="K22" s="303"/>
    </row>
    <row r="23" spans="1:18" s="16" customFormat="1" ht="19.899999999999999" customHeight="1" x14ac:dyDescent="0.25">
      <c r="A23" s="260"/>
      <c r="B23" s="303" t="str">
        <f>IF(OR(_Dach_Typ="Fdg",_Dach_Typ="Fd"),"Modultyp für Hauptausrichtung","Modultyp")</f>
        <v>Modultyp</v>
      </c>
      <c r="C23" s="303"/>
      <c r="D23" s="516" t="s">
        <v>317</v>
      </c>
      <c r="E23" s="504" t="str">
        <f>IF($E16="krit","Blendarm","Standard")</f>
        <v>Standard</v>
      </c>
      <c r="F23" s="531">
        <f>IF(E16="krit",_Modulleistung_Blendarm,_Modulleistung_Standard)</f>
        <v>475</v>
      </c>
      <c r="G23" s="303" t="s">
        <v>50</v>
      </c>
      <c r="H23" s="303"/>
      <c r="I23" s="303"/>
      <c r="J23" s="303"/>
      <c r="K23" s="303"/>
    </row>
    <row r="24" spans="1:18" s="16" customFormat="1" ht="19.899999999999999" customHeight="1" x14ac:dyDescent="0.25">
      <c r="A24" s="260"/>
      <c r="B24" s="527" t="s">
        <v>308</v>
      </c>
      <c r="C24" s="527"/>
      <c r="D24" s="528" t="s">
        <v>318</v>
      </c>
      <c r="E24" s="530" t="str">
        <f>IF($E17="krit","Blendarm","Standard")</f>
        <v>Standard</v>
      </c>
      <c r="F24" s="532" cm="1">
        <f t="array" ref="F24">_xlfn.IFS(_Dach_Typ="Sd",0,_Dach_Typ="Pp",0,TRUE,IF(E17="krit",_Modulleistung_Blendarm,_Modulleistung_Standard))</f>
        <v>475</v>
      </c>
      <c r="G24" s="527" t="s">
        <v>50</v>
      </c>
      <c r="H24" s="527"/>
      <c r="I24" s="527"/>
      <c r="J24" s="527"/>
      <c r="K24" s="527"/>
    </row>
    <row r="25" spans="1:18" s="16" customFormat="1" ht="19.5" customHeight="1" x14ac:dyDescent="0.25">
      <c r="A25" s="260"/>
      <c r="B25" s="533" t="s">
        <v>549</v>
      </c>
      <c r="C25" s="533"/>
      <c r="D25" s="455"/>
      <c r="E25" s="534"/>
      <c r="F25" s="535" t="str">
        <f>IF(OR(_Dach_Typ="Sd",_Dach_Typ="Pp"),"Stk. ("&amp;E23&amp;")","")</f>
        <v/>
      </c>
      <c r="G25" s="533" t="s">
        <v>551</v>
      </c>
      <c r="H25" s="533"/>
      <c r="I25" s="533"/>
      <c r="J25" s="533"/>
      <c r="K25" s="533"/>
    </row>
    <row r="26" spans="1:18" s="151" customFormat="1" ht="19.5" customHeight="1" x14ac:dyDescent="0.2">
      <c r="A26" s="263"/>
      <c r="B26" s="527" t="str">
        <f>"Davon in Hauptausrichtung: "&amp;E14&amp;"°"</f>
        <v>Davon in Hauptausrichtung: °</v>
      </c>
      <c r="C26" s="527"/>
      <c r="D26" s="528" t="s">
        <v>319</v>
      </c>
      <c r="E26" s="536">
        <f>IF(OR(_Dach_Typ="Sd",_Dach_Typ="Pp"),E25,
IF(AND(OR(_Dach_Typ="Fd",_Dach_Typ="Fdg"),OR(ISBLANK(G26),G26&gt;E25)),ROUNDUP(E25/2,0),G26))</f>
        <v>0</v>
      </c>
      <c r="F26" s="530" t="str">
        <f>"Stk. ("&amp;E23&amp;")"</f>
        <v>Stk. (Standard)</v>
      </c>
      <c r="G26" s="537"/>
      <c r="H26" s="530" t="s">
        <v>82</v>
      </c>
      <c r="I26" s="527" t="str">
        <f>IF(G26&gt;E25,"ungültiger Wert","Manuelle Eingabe")</f>
        <v>Manuelle Eingabe</v>
      </c>
      <c r="J26" s="527"/>
      <c r="K26" s="527"/>
      <c r="M26" s="155"/>
    </row>
    <row r="27" spans="1:18" s="151" customFormat="1" ht="19.5" customHeight="1" x14ac:dyDescent="0.2">
      <c r="A27" s="263"/>
      <c r="B27" s="538" t="str">
        <f>"und in Zweitausrichtung: "&amp;E14-180*SIGN(E14)&amp;"°"</f>
        <v>und in Zweitausrichtung: 0°</v>
      </c>
      <c r="C27" s="538"/>
      <c r="D27" s="539" t="s">
        <v>320</v>
      </c>
      <c r="E27" s="540">
        <f>E25-E26</f>
        <v>0</v>
      </c>
      <c r="F27" s="541" t="str">
        <f>"Stk. ("&amp;E24&amp;")"</f>
        <v>Stk. (Standard)</v>
      </c>
      <c r="G27" s="542"/>
      <c r="H27" s="538"/>
      <c r="I27" s="538"/>
      <c r="J27" s="538"/>
      <c r="K27" s="538"/>
      <c r="M27" s="155"/>
    </row>
    <row r="28" spans="1:18" s="16" customFormat="1" ht="19.5" customHeight="1" x14ac:dyDescent="0.25">
      <c r="A28" s="260"/>
      <c r="B28" s="303" t="s">
        <v>550</v>
      </c>
      <c r="C28" s="303"/>
      <c r="D28" s="516"/>
      <c r="E28" s="543">
        <f>E25</f>
        <v>0</v>
      </c>
      <c r="F28" s="535" t="str">
        <f>IF(OR(_Dach_Typ="Sd",_Dach_Typ="Pp"),"Stk. ("&amp;E23&amp;")","")</f>
        <v/>
      </c>
      <c r="G28" s="303" t="s">
        <v>552</v>
      </c>
      <c r="H28" s="303"/>
      <c r="I28" s="303"/>
      <c r="J28" s="303"/>
      <c r="K28" s="303"/>
    </row>
    <row r="29" spans="1:18" s="16" customFormat="1" ht="19.5" customHeight="1" x14ac:dyDescent="0.25">
      <c r="A29" s="260"/>
      <c r="B29" s="527" t="str">
        <f>"Davon in Hauptausrichtung: "&amp;E14&amp;"°"</f>
        <v>Davon in Hauptausrichtung: °</v>
      </c>
      <c r="C29" s="527"/>
      <c r="D29" s="528" t="s">
        <v>321</v>
      </c>
      <c r="E29" s="536">
        <f>IF(OR(_Dach_Typ="Sd",_Dach_Typ="Pp"),E28,
IF(AND(OR(_Dach_Typ="Fd",_Dach_Typ="Fdg"),OR(ISBLANK(G29),G29&gt;E28)),ROUNDUP(E28/2,0),G29))</f>
        <v>0</v>
      </c>
      <c r="F29" s="530" t="str">
        <f>"Stk. ("&amp;E23&amp;")"</f>
        <v>Stk. (Standard)</v>
      </c>
      <c r="G29" s="537"/>
      <c r="H29" s="530" t="s">
        <v>82</v>
      </c>
      <c r="I29" s="527" t="str">
        <f>IF(G29&gt;E28,"ungültiger Wert","Manuelle Eingabe")</f>
        <v>Manuelle Eingabe</v>
      </c>
      <c r="J29" s="527"/>
      <c r="K29" s="527"/>
    </row>
    <row r="30" spans="1:18" s="16" customFormat="1" ht="19.5" customHeight="1" x14ac:dyDescent="0.25">
      <c r="A30" s="260"/>
      <c r="B30" s="527" t="str">
        <f>"und in Zweitausrichtung: "&amp;E14-180*SIGN(E14)&amp;"°"</f>
        <v>und in Zweitausrichtung: 0°</v>
      </c>
      <c r="C30" s="527"/>
      <c r="D30" s="528" t="s">
        <v>322</v>
      </c>
      <c r="E30" s="536">
        <f>E28-E29</f>
        <v>0</v>
      </c>
      <c r="F30" s="530" t="str">
        <f>"Stk. ("&amp;E24&amp;")"</f>
        <v>Stk. (Standard)</v>
      </c>
      <c r="G30" s="544"/>
      <c r="H30" s="527"/>
      <c r="I30" s="527"/>
      <c r="J30" s="527"/>
      <c r="K30" s="527"/>
    </row>
    <row r="31" spans="1:18" ht="12.75" x14ac:dyDescent="0.2"/>
    <row r="32" spans="1:18" s="12" customFormat="1" ht="20.25" x14ac:dyDescent="0.3">
      <c r="A32" s="259"/>
      <c r="B32" s="679" t="s">
        <v>179</v>
      </c>
      <c r="C32" s="679"/>
      <c r="D32" s="679"/>
      <c r="E32" s="679"/>
      <c r="F32" s="679"/>
      <c r="N32"/>
      <c r="O32"/>
      <c r="P32"/>
      <c r="Q32"/>
      <c r="R32"/>
    </row>
    <row r="33" spans="1:18" s="16" customFormat="1" ht="19.899999999999999" customHeight="1" x14ac:dyDescent="0.3">
      <c r="A33" s="260"/>
      <c r="B33" s="303" t="s">
        <v>543</v>
      </c>
      <c r="C33" s="303" t="s">
        <v>288</v>
      </c>
      <c r="D33" s="516"/>
      <c r="E33" s="545">
        <f>_Spez_Ertrag_Standort</f>
        <v>900</v>
      </c>
      <c r="F33" s="522" t="s">
        <v>97</v>
      </c>
      <c r="G33" s="303" t="str">
        <f>"Spezifischer Ertrag am Standort bei horizontaler Montage"</f>
        <v>Spezifischer Ertrag am Standort bei horizontaler Montage</v>
      </c>
      <c r="H33" s="303"/>
      <c r="I33" s="303"/>
      <c r="J33" s="303"/>
      <c r="K33" s="303"/>
    </row>
    <row r="34" spans="1:18" s="16" customFormat="1" ht="19.5" customHeight="1" x14ac:dyDescent="0.3">
      <c r="A34" s="260"/>
      <c r="B34" s="297" t="s">
        <v>544</v>
      </c>
      <c r="C34" s="297" t="str">
        <f>IF(OR(_Dach_Typ="Fdg",_Dach_Typ="Fd"),"Hauptausrichtung","Ausrichtung")</f>
        <v>Ausrichtung</v>
      </c>
      <c r="D34" s="437" t="s">
        <v>323</v>
      </c>
      <c r="E34" s="546" cm="1">
        <f t="array" ref="E34">(INDEX(_Faktor_Ausrichtung,ROUND(((E15/_RasterNeigung))+1,0),ROUND((((E14)/_RasterAzimut))+180/_RasterAzimut+1,0),1))</f>
        <v>1</v>
      </c>
      <c r="F34" s="524"/>
      <c r="G34" s="297" t="str">
        <f>"Abweichung durch "&amp;C34</f>
        <v>Abweichung durch Ausrichtung</v>
      </c>
      <c r="H34" s="297"/>
      <c r="I34" s="297"/>
      <c r="J34" s="297"/>
      <c r="K34" s="297"/>
      <c r="M34" s="156"/>
    </row>
    <row r="35" spans="1:18" s="16" customFormat="1" ht="19.5" customHeight="1" x14ac:dyDescent="0.3">
      <c r="A35" s="260"/>
      <c r="B35" s="527" t="s">
        <v>545</v>
      </c>
      <c r="C35" s="527" t="s">
        <v>289</v>
      </c>
      <c r="D35" s="528" t="s">
        <v>283</v>
      </c>
      <c r="E35" s="547" cm="1">
        <f t="array" ref="E35">INDEX(_Faktor_Ausrichtung,ROUND(((E15/_RasterNeigung))+1,0),ROUND((((E14-180*SIGN(E14))/_RasterAzimut))+180/_RasterAzimut+1,0),1)</f>
        <v>1</v>
      </c>
      <c r="F35" s="530"/>
      <c r="G35" s="536" t="str">
        <f>"Abweichung durch "&amp;C35</f>
        <v>Abweichung durch Zweitausrichtung</v>
      </c>
      <c r="H35" s="530"/>
      <c r="I35" s="527"/>
      <c r="J35" s="527"/>
      <c r="K35" s="527"/>
    </row>
    <row r="36" spans="1:18" s="21" customFormat="1" ht="19.899999999999999" hidden="1" customHeight="1" x14ac:dyDescent="0.3">
      <c r="A36" s="261"/>
      <c r="B36" s="437" t="s">
        <v>543</v>
      </c>
      <c r="C36" s="437" t="s">
        <v>290</v>
      </c>
      <c r="D36" s="437"/>
      <c r="E36" s="548" t="str">
        <f>IFERROR(E33*((E34*E26)+(E35*E27))/(E26+E27),"")</f>
        <v/>
      </c>
      <c r="F36" s="549" t="s">
        <v>97</v>
      </c>
      <c r="G36" s="437" t="s">
        <v>95</v>
      </c>
      <c r="H36" s="437"/>
      <c r="I36" s="437"/>
      <c r="J36" s="437"/>
      <c r="K36" s="437"/>
      <c r="L36" s="16"/>
    </row>
    <row r="37" spans="1:18" s="21" customFormat="1" ht="19.899999999999999" hidden="1" customHeight="1" x14ac:dyDescent="0.3">
      <c r="A37" s="261"/>
      <c r="B37" s="437" t="s">
        <v>543</v>
      </c>
      <c r="C37" s="437" t="s">
        <v>291</v>
      </c>
      <c r="D37" s="437"/>
      <c r="E37" s="548" t="str">
        <f>IFERROR(E33*((E34*E29)+(E35*E30))/(E29+E30),"")</f>
        <v/>
      </c>
      <c r="F37" s="549" t="s">
        <v>97</v>
      </c>
      <c r="G37" s="437" t="s">
        <v>95</v>
      </c>
      <c r="H37" s="437"/>
      <c r="I37" s="437"/>
      <c r="J37" s="437"/>
      <c r="K37" s="437"/>
      <c r="L37" s="16"/>
    </row>
    <row r="38" spans="1:18" s="16" customFormat="1" ht="19.5" customHeight="1" x14ac:dyDescent="0.3">
      <c r="A38" s="260"/>
      <c r="B38" s="297" t="s">
        <v>543</v>
      </c>
      <c r="C38" s="297" t="str">
        <f>C34</f>
        <v>Ausrichtung</v>
      </c>
      <c r="D38" s="437" t="s">
        <v>332</v>
      </c>
      <c r="E38" s="550"/>
      <c r="F38" s="524" t="s">
        <v>97</v>
      </c>
      <c r="G38" s="297" t="s">
        <v>96</v>
      </c>
      <c r="H38" s="297"/>
      <c r="I38" s="297"/>
      <c r="J38" s="297"/>
      <c r="K38" s="297"/>
      <c r="M38" s="156"/>
    </row>
    <row r="39" spans="1:18" s="16" customFormat="1" ht="19.5" customHeight="1" x14ac:dyDescent="0.3">
      <c r="A39" s="260"/>
      <c r="B39" s="551" t="s">
        <v>546</v>
      </c>
      <c r="C39" s="551" t="s">
        <v>289</v>
      </c>
      <c r="D39" s="552"/>
      <c r="E39" s="553"/>
      <c r="F39" s="554" t="s">
        <v>97</v>
      </c>
      <c r="G39" s="551" t="s">
        <v>96</v>
      </c>
      <c r="H39" s="551"/>
      <c r="I39" s="551"/>
      <c r="J39" s="551"/>
      <c r="K39" s="551"/>
    </row>
    <row r="40" spans="1:18" s="16" customFormat="1" ht="19.899999999999999" customHeight="1" x14ac:dyDescent="0.3">
      <c r="A40" s="260"/>
      <c r="B40" s="297" t="s">
        <v>543</v>
      </c>
      <c r="C40" s="297" t="s">
        <v>292</v>
      </c>
      <c r="D40" s="437" t="s">
        <v>284</v>
      </c>
      <c r="E40" s="555" t="str">
        <f>IF(AND(OR(_Dach_Typ="Fdg",_Dach_Typ="Fd"),E27&gt;0,ISNUMBER(E38),ISNUMBER(E39)),(E38*E26+E39*E27)/(E25),
IF(AND(OR(AND(OR(_Dach_Typ="Fdg",_Dach_Typ="Fd"),E27=0),_Dach_Typ="Sd",_Dach_Typ="Pp"),ISNUMBER(E38)),E38,
IF(AND(OR(E27&gt;0,E30&gt;0),ISNUMBER(E38),NOT(ISNUMBER(E39))),0,E36)))</f>
        <v/>
      </c>
      <c r="F40" s="524" t="s">
        <v>97</v>
      </c>
      <c r="G40" s="297" t="str">
        <f>IF(E40=0,"Eingabe Zweitausrichtung erforderlich","Rechenwert spez. Jahresertrag bei technischer Vollbelegung")</f>
        <v>Rechenwert spez. Jahresertrag bei technischer Vollbelegung</v>
      </c>
      <c r="H40" s="297"/>
      <c r="I40" s="297"/>
      <c r="J40" s="297"/>
      <c r="K40" s="297"/>
    </row>
    <row r="41" spans="1:18" s="16" customFormat="1" ht="19.899999999999999" customHeight="1" x14ac:dyDescent="0.3">
      <c r="A41" s="260"/>
      <c r="B41" s="372" t="s">
        <v>543</v>
      </c>
      <c r="C41" s="372" t="s">
        <v>293</v>
      </c>
      <c r="D41" s="449" t="s">
        <v>285</v>
      </c>
      <c r="E41" s="556" t="str">
        <f>IF(AND(OR(_Dach_Typ="Fdg",_Dach_Typ="Fd"),E30&gt;0,ISNUMBER(E38),ISNUMBER(E39)),(E38*E29+E39*E30)/(E28),
IF(AND(OR(AND(OR(_Dach_Typ="Fdg",_Dach_Typ="Fd"),E30=0),_Dach_Typ="Sd",_Dach_Typ="Pp"),ISNUMBER(E38)),E38,E37))</f>
        <v/>
      </c>
      <c r="F41" s="515" t="s">
        <v>97</v>
      </c>
      <c r="G41" s="372" t="str">
        <f>IF(E41=0,"Eingabe Zweitausrichtung erforderlich","Rechenwert spez. Jahresertrag bei gesetzlichem Minimum")</f>
        <v>Rechenwert spez. Jahresertrag bei gesetzlichem Minimum</v>
      </c>
      <c r="H41" s="372"/>
      <c r="I41" s="372"/>
      <c r="J41" s="372"/>
      <c r="K41" s="372"/>
    </row>
    <row r="42" spans="1:18" ht="12.75" x14ac:dyDescent="0.2"/>
    <row r="43" spans="1:18" s="12" customFormat="1" ht="20.25" x14ac:dyDescent="0.3">
      <c r="A43" s="259"/>
      <c r="B43" s="286" t="s">
        <v>221</v>
      </c>
      <c r="D43" s="150"/>
      <c r="E43" s="719" t="s">
        <v>383</v>
      </c>
      <c r="F43" s="719"/>
      <c r="G43" s="719"/>
      <c r="H43" s="719" t="s">
        <v>384</v>
      </c>
      <c r="I43" s="719"/>
      <c r="J43" s="719"/>
      <c r="K43" s="719"/>
      <c r="N43"/>
      <c r="O43"/>
      <c r="P43"/>
      <c r="Q43"/>
      <c r="R43"/>
    </row>
    <row r="44" spans="1:18" s="12" customFormat="1" ht="19.5" customHeight="1" x14ac:dyDescent="0.3">
      <c r="A44" s="259"/>
      <c r="B44" s="303" t="s">
        <v>363</v>
      </c>
      <c r="C44" s="303"/>
      <c r="D44" s="516"/>
      <c r="E44" s="545">
        <f ca="1">IFERROR(_EIV_t.Vb./_Anlageleistung_t.Vb.*E51,0)</f>
        <v>0</v>
      </c>
      <c r="F44" s="522" t="s">
        <v>31</v>
      </c>
      <c r="G44" s="428"/>
      <c r="H44" s="545">
        <f ca="1">IFERROR(_EIV_g.Min./_Anlageleistung_g.Min.*E60,0)</f>
        <v>0</v>
      </c>
      <c r="I44" s="296" t="s">
        <v>31</v>
      </c>
      <c r="J44" s="429"/>
      <c r="K44"/>
      <c r="M44" s="218"/>
      <c r="N44"/>
      <c r="O44"/>
      <c r="P44"/>
      <c r="Q44"/>
      <c r="R44"/>
    </row>
    <row r="45" spans="1:18" s="16" customFormat="1" ht="19.899999999999999" customHeight="1" x14ac:dyDescent="0.25">
      <c r="A45" s="260"/>
      <c r="B45" s="303" t="s">
        <v>222</v>
      </c>
      <c r="C45" s="303"/>
      <c r="D45" s="516" t="s">
        <v>313</v>
      </c>
      <c r="E45" s="545">
        <f>IF(AND(E15&gt;=_Neigungswinkel_für_NB_Bund,E15&lt;=90),(E26*F23)/1000*_Bonus_Neigungswinkel_Bund+IF(OR(_Dach_Typ="Fd",_Dach_Typ="Fdg"),(F24*E27)/1000*_Bonus_Neigungswinkel_Bund,0),0)</f>
        <v>0</v>
      </c>
      <c r="F45" s="429" t="s">
        <v>31</v>
      </c>
      <c r="G45" s="514"/>
      <c r="H45" s="545">
        <f>IF(AND(E15&gt;=_Neigungswinkel_für_NB_Bund,E15&lt;=90),(E29*F23)/1000*_Bonus_Neigungswinkel_Bund+IF(OR(_Dach_Typ="Fd",_Dach_Typ="Fdg"),(F24*E30)/1000*_Bonus_Neigungswinkel_Bund,0),0)</f>
        <v>0</v>
      </c>
      <c r="I45" s="303" t="s">
        <v>31</v>
      </c>
      <c r="J45" s="429"/>
      <c r="K45"/>
    </row>
    <row r="46" spans="1:18" s="16" customFormat="1" ht="19.899999999999999" customHeight="1" x14ac:dyDescent="0.25">
      <c r="A46" s="260"/>
      <c r="B46" s="297" t="s">
        <v>223</v>
      </c>
      <c r="C46" s="297"/>
      <c r="D46" s="437" t="s">
        <v>314</v>
      </c>
      <c r="E46" s="555">
        <f>IFERROR(IF(AND(E11=Basisdaten!B154,(E26*F23+E27*F24)/1000&gt;=_Schwelle_PPBonus),(E26*F23+E27*F24)/1000*_Bonus_Pp_pronovo,0),0)</f>
        <v>0</v>
      </c>
      <c r="F46" s="557" t="s">
        <v>31</v>
      </c>
      <c r="G46" s="514"/>
      <c r="H46" s="555">
        <f>IFERROR(IF(AND(E11=Basisdaten!B154,(E29*F23+E30*F24)/1000&gt;=_Schwelle_PPBonus),(E29*F23+E30*F24)/1000*_Bonus_Pp_pronovo,0),0)</f>
        <v>0</v>
      </c>
      <c r="I46" s="297" t="s">
        <v>31</v>
      </c>
      <c r="J46" s="429"/>
      <c r="K46"/>
      <c r="M46" s="156"/>
    </row>
    <row r="47" spans="1:18" s="16" customFormat="1" ht="19.899999999999999" customHeight="1" x14ac:dyDescent="0.25">
      <c r="A47" s="260"/>
      <c r="B47" s="297" t="s">
        <v>281</v>
      </c>
      <c r="C47" s="297"/>
      <c r="D47" s="437" t="s">
        <v>310</v>
      </c>
      <c r="E47" s="555">
        <f>IF(AND(E15&gt;=_Neigungswinkel_für_NB_Bund,E15&lt;=90,NOT(_Dach_Typ="Fdg")),
((E17="unk")*E26*_Modullänge_Standard*_Modulbreite_Standard
+(E16="unk")*E27*_Modullänge_Standard*_Modulbreite_Standard
+(E17="krit")*E26*_Modullänge_Blendarm*_Modulbreite_Blendarm
+(E16="krit")*E27*_Modullänge_Blendarm*_Modulbreite_Blendarm)
*_Bonus_Steil_Stadt,0)</f>
        <v>0</v>
      </c>
      <c r="F47" s="557" t="s">
        <v>31</v>
      </c>
      <c r="G47" s="514"/>
      <c r="H47" s="555">
        <f>IF(AND(E15&gt;=_Neigungswinkel_für_NB_Bund,E15&lt;=90,NOT(_Dach_Typ="Fdg")),
((E17="unk")*E29*_Modullänge_Standard*_Modulbreite_Standard
+(E16="unk")*E30*_Modullänge_Standard*_Modulbreite_Standard
+(E17="krit")*E29*_Modullänge_Blendarm*_Modulbreite_Blendarm
+(E16="krit")*E30*_Modullänge_Blendarm*_Modulbreite_Blendarm)
*_Bonus_Steil_Stadt,0)</f>
        <v>0</v>
      </c>
      <c r="I47" s="297" t="s">
        <v>31</v>
      </c>
      <c r="J47" s="429"/>
      <c r="K47"/>
      <c r="M47" s="218"/>
    </row>
    <row r="48" spans="1:18" s="16" customFormat="1" ht="19.899999999999999" customHeight="1" x14ac:dyDescent="0.25">
      <c r="A48" s="260"/>
      <c r="B48" s="297" t="s">
        <v>309</v>
      </c>
      <c r="C48" s="297"/>
      <c r="D48" s="437" t="s">
        <v>311</v>
      </c>
      <c r="E48" s="555">
        <f>IF(_Dach_Typ="Fdg",(E26*F23+E27*F24)/1000*_Bonus_Gründach_Stadt,0)</f>
        <v>0</v>
      </c>
      <c r="F48" s="557" t="s">
        <v>31</v>
      </c>
      <c r="G48" s="514"/>
      <c r="H48" s="555">
        <f>IF(_Dach_Typ="Fdg",(E29*F23+E30*F24)/1000*_Bonus_Gründach_Stadt,0)</f>
        <v>0</v>
      </c>
      <c r="I48" s="297" t="s">
        <v>31</v>
      </c>
      <c r="J48" s="429"/>
      <c r="K48"/>
    </row>
    <row r="49" spans="1:18" s="16" customFormat="1" ht="19.899999999999999" customHeight="1" x14ac:dyDescent="0.25">
      <c r="A49" s="260"/>
      <c r="B49" s="372" t="s">
        <v>282</v>
      </c>
      <c r="C49" s="372"/>
      <c r="D49" s="449" t="s">
        <v>312</v>
      </c>
      <c r="E49" s="556">
        <f>IF(E16="krit",E26*F23/1000*_Bonus_Blendarm_Stadt,0)
+IF(AND(OR(_Dach_Typ="Fd",_Dach_Typ="Fdg"),E17="krit"),F24*E27/1000*_Bonus_Blendarm_Stadt,0)</f>
        <v>0</v>
      </c>
      <c r="F49" s="558" t="s">
        <v>31</v>
      </c>
      <c r="G49" s="514"/>
      <c r="H49" s="556">
        <f>IF(E16="krit",E29*F23/1000*_Bonus_Blendarm_Stadt,0)
+IF(AND(OR(_Dach_Typ="Fd",_Dach_Typ="Fdg"),E17="krit"),F24*E30/1000*_Bonus_Blendarm_Stadt,0)</f>
        <v>0</v>
      </c>
      <c r="I49" s="372" t="s">
        <v>31</v>
      </c>
      <c r="J49" s="429"/>
      <c r="K49"/>
    </row>
    <row r="50" spans="1:18" s="150" customFormat="1" ht="21" hidden="1" thickBot="1" x14ac:dyDescent="0.35">
      <c r="A50" s="264"/>
      <c r="B50" s="230" t="s">
        <v>368</v>
      </c>
      <c r="C50" s="25"/>
      <c r="D50" s="25"/>
      <c r="E50" s="25"/>
      <c r="F50" s="25"/>
      <c r="G50" s="25"/>
      <c r="H50" s="25"/>
      <c r="I50" s="25"/>
      <c r="J50" s="25"/>
      <c r="K50" s="231"/>
      <c r="L50" s="12"/>
      <c r="N50" s="14"/>
      <c r="O50" s="14"/>
      <c r="P50" s="14"/>
      <c r="Q50" s="14"/>
      <c r="R50" s="14"/>
    </row>
    <row r="51" spans="1:18" s="21" customFormat="1" ht="19.899999999999999" hidden="1" customHeight="1" x14ac:dyDescent="0.25">
      <c r="A51" s="261"/>
      <c r="B51" s="39" t="s">
        <v>28</v>
      </c>
      <c r="C51" s="19"/>
      <c r="D51" s="19" t="str">
        <f ca="1">CONCATENATE(B1,Basisdaten!A84)</f>
        <v>Dachfläche (6)P_TF_t.Vb.</v>
      </c>
      <c r="E51" s="232">
        <f>IF(E25&lt;6,0,
IF(AND(OR(_Dach_Typ="Fd",_Dach_Typ="Fdg"),ISNUMBER(F23),ISNUMBER(F24)),(E26*F23+E27*F24)/1000,
IF(ISNUMBER(F23),(E26*F23)/1000,0)))</f>
        <v>0</v>
      </c>
      <c r="F51" s="233" t="s">
        <v>102</v>
      </c>
      <c r="G51" s="234" t="str" cm="1">
        <f t="array" ref="G51">_xlfn.IFS(E25&lt;6,"Keine Nutzungspflicht",E16="offen","Reflektion ungeklärt",E17="offen","Reflektion ungeklärt",TRUE,"")</f>
        <v>Keine Nutzungspflicht</v>
      </c>
      <c r="H51" s="234"/>
      <c r="I51" s="234"/>
      <c r="J51" s="220"/>
      <c r="K51" s="235"/>
      <c r="L51" s="16"/>
    </row>
    <row r="52" spans="1:18" s="21" customFormat="1" ht="19.899999999999999" hidden="1" customHeight="1" x14ac:dyDescent="0.25">
      <c r="A52" s="261"/>
      <c r="B52" s="48" t="s">
        <v>357</v>
      </c>
      <c r="C52" s="27"/>
      <c r="D52" s="27"/>
      <c r="E52" s="49">
        <f>IF(E51&gt;0,VLOOKUP(D51,Basisdaten!C:E,3,FALSE),0)</f>
        <v>0</v>
      </c>
      <c r="F52" s="26" t="s">
        <v>52</v>
      </c>
      <c r="G52" s="223"/>
      <c r="H52" s="223"/>
      <c r="I52" s="223"/>
      <c r="J52" s="27"/>
      <c r="K52" s="224"/>
      <c r="L52" s="16"/>
    </row>
    <row r="53" spans="1:18" s="21" customFormat="1" ht="19.899999999999999" hidden="1" customHeight="1" x14ac:dyDescent="0.25">
      <c r="A53" s="261"/>
      <c r="B53" s="20" t="s">
        <v>29</v>
      </c>
      <c r="C53" s="17"/>
      <c r="D53" s="17"/>
      <c r="E53" s="24">
        <f>IF(E51&gt;0,E51*VLOOKUP(D51,Basisdaten!C:E,3,FALSE),0)</f>
        <v>0</v>
      </c>
      <c r="F53" s="22" t="s">
        <v>31</v>
      </c>
      <c r="G53" s="37"/>
      <c r="H53" s="37"/>
      <c r="I53" s="37"/>
      <c r="J53" s="17"/>
      <c r="K53" s="23"/>
      <c r="L53" s="16"/>
    </row>
    <row r="54" spans="1:18" s="21" customFormat="1" ht="19.899999999999999" hidden="1" customHeight="1" x14ac:dyDescent="0.25">
      <c r="A54" s="261"/>
      <c r="B54" s="20" t="s">
        <v>264</v>
      </c>
      <c r="C54" s="17"/>
      <c r="D54" s="17"/>
      <c r="E54" s="24">
        <f>IF(E16="krit",E26*_Aufpreis_Blendarm,0)
+IF(E17="krit",E27*_Aufpreis_Blendarm,0)</f>
        <v>0</v>
      </c>
      <c r="F54" s="22" t="s">
        <v>31</v>
      </c>
      <c r="G54" s="37"/>
      <c r="H54" s="37"/>
      <c r="I54" s="37"/>
      <c r="J54" s="17"/>
      <c r="K54" s="23"/>
      <c r="L54" s="16"/>
    </row>
    <row r="55" spans="1:18" s="21" customFormat="1" ht="19.899999999999999" hidden="1" customHeight="1" x14ac:dyDescent="0.25">
      <c r="A55" s="261"/>
      <c r="B55" s="20" t="s">
        <v>253</v>
      </c>
      <c r="C55" s="17"/>
      <c r="D55" s="17"/>
      <c r="E55" s="24">
        <f>IF(E51&gt;0,-SUM(E44:E49),0)</f>
        <v>0</v>
      </c>
      <c r="F55" s="22" t="s">
        <v>31</v>
      </c>
      <c r="G55" s="37"/>
      <c r="H55" s="37"/>
      <c r="I55" s="37"/>
      <c r="J55" s="17"/>
      <c r="K55" s="23"/>
      <c r="L55" s="16"/>
    </row>
    <row r="56" spans="1:18" s="21" customFormat="1" ht="19.899999999999999" hidden="1" customHeight="1" x14ac:dyDescent="0.25">
      <c r="A56" s="261"/>
      <c r="B56" s="20" t="s">
        <v>196</v>
      </c>
      <c r="C56" s="17"/>
      <c r="D56" s="17"/>
      <c r="E56" s="24">
        <f>SUM(E53:E55)</f>
        <v>0</v>
      </c>
      <c r="F56" s="22" t="s">
        <v>31</v>
      </c>
      <c r="G56" s="37"/>
      <c r="H56" s="37"/>
      <c r="I56" s="37"/>
      <c r="J56" s="17"/>
      <c r="K56" s="23"/>
      <c r="L56" s="16"/>
    </row>
    <row r="57" spans="1:18" s="21" customFormat="1" ht="19.899999999999999" hidden="1" customHeight="1" thickBot="1" x14ac:dyDescent="0.3">
      <c r="A57" s="261"/>
      <c r="B57" s="236" t="s">
        <v>367</v>
      </c>
      <c r="C57" s="28"/>
      <c r="D57" s="28" t="s">
        <v>349</v>
      </c>
      <c r="E57" s="237">
        <f>IFERROR(E56/(E40*E51)*100/25,0)</f>
        <v>0</v>
      </c>
      <c r="F57" s="157" t="s">
        <v>32</v>
      </c>
      <c r="G57" s="28" t="s">
        <v>294</v>
      </c>
      <c r="H57" s="238"/>
      <c r="I57" s="238"/>
      <c r="J57" s="28"/>
      <c r="K57" s="239"/>
      <c r="L57" s="16"/>
      <c r="M57" s="240"/>
    </row>
    <row r="58" spans="1:18" s="14" customFormat="1" ht="12.75" hidden="1" x14ac:dyDescent="0.2">
      <c r="A58" s="262"/>
      <c r="L58"/>
    </row>
    <row r="59" spans="1:18" s="150" customFormat="1" ht="21" hidden="1" thickBot="1" x14ac:dyDescent="0.35">
      <c r="A59" s="264"/>
      <c r="B59" s="230" t="s">
        <v>362</v>
      </c>
      <c r="C59" s="25"/>
      <c r="D59" s="25"/>
      <c r="E59" s="25"/>
      <c r="F59" s="25"/>
      <c r="G59" s="25"/>
      <c r="H59" s="25"/>
      <c r="I59" s="25"/>
      <c r="J59" s="25"/>
      <c r="K59" s="231"/>
      <c r="L59" s="12"/>
      <c r="N59" s="14"/>
      <c r="O59" s="14"/>
      <c r="P59" s="14"/>
      <c r="Q59" s="14"/>
      <c r="R59" s="14"/>
    </row>
    <row r="60" spans="1:18" s="21" customFormat="1" ht="19.899999999999999" hidden="1" customHeight="1" x14ac:dyDescent="0.25">
      <c r="A60" s="261"/>
      <c r="B60" s="39" t="s">
        <v>28</v>
      </c>
      <c r="C60" s="19"/>
      <c r="D60" s="19" t="str">
        <f ca="1">CONCATENATE(B1,Basisdaten!A99)</f>
        <v>Dachfläche (6)P_TF_g.Min.</v>
      </c>
      <c r="E60" s="232">
        <f>IF(E28&lt;6,0,
IF(AND(OR(_Dach_Typ="Fd",_Dach_Typ="Fdg"),ISNUMBER(F23),ISNUMBER(F24)),(E29*F23+E30*F24)/1000,
IF(ISNUMBER(F23),(E29*F23)/1000,0)))</f>
        <v>0</v>
      </c>
      <c r="F60" s="241" t="s">
        <v>102</v>
      </c>
      <c r="G60" s="19" t="str" cm="1">
        <f t="array" ref="G60">_xlfn.IFS(E28&lt;6,"Keine Nutzungspflicht",E16="offen","Reflektion ungeklärt",E17="offen","Reflektion ungeklärt",TRUE,"")</f>
        <v>Keine Nutzungspflicht</v>
      </c>
      <c r="H60" s="232"/>
      <c r="I60" s="241"/>
      <c r="J60" s="19"/>
      <c r="K60" s="242"/>
      <c r="L60" s="16"/>
    </row>
    <row r="61" spans="1:18" s="21" customFormat="1" ht="19.899999999999999" hidden="1" customHeight="1" x14ac:dyDescent="0.25">
      <c r="A61" s="261"/>
      <c r="B61" s="20" t="s">
        <v>357</v>
      </c>
      <c r="C61" s="17"/>
      <c r="D61" s="17"/>
      <c r="E61" s="24">
        <f>IF(E60&gt;0,VLOOKUP(D60,Basisdaten!C:E,3,FALSE),0)</f>
        <v>0</v>
      </c>
      <c r="F61" s="22" t="s">
        <v>31</v>
      </c>
      <c r="G61" s="17"/>
      <c r="H61" s="24"/>
      <c r="I61" s="22"/>
      <c r="J61" s="17"/>
      <c r="K61" s="23"/>
      <c r="L61" s="16"/>
    </row>
    <row r="62" spans="1:18" s="21" customFormat="1" ht="19.899999999999999" hidden="1" customHeight="1" x14ac:dyDescent="0.25">
      <c r="A62" s="261"/>
      <c r="B62" s="20" t="s">
        <v>29</v>
      </c>
      <c r="C62" s="17"/>
      <c r="D62" s="17"/>
      <c r="E62" s="24">
        <f>IF(E60&gt;0,E60*VLOOKUP(D60,Basisdaten!C:E,3,FALSE),0)</f>
        <v>0</v>
      </c>
      <c r="F62" s="22" t="s">
        <v>31</v>
      </c>
      <c r="G62" s="17"/>
      <c r="H62" s="24"/>
      <c r="I62" s="22"/>
      <c r="J62" s="17"/>
      <c r="K62" s="23"/>
      <c r="L62" s="16"/>
    </row>
    <row r="63" spans="1:18" s="21" customFormat="1" ht="19.899999999999999" hidden="1" customHeight="1" x14ac:dyDescent="0.25">
      <c r="A63" s="261"/>
      <c r="B63" s="20" t="s">
        <v>264</v>
      </c>
      <c r="C63" s="17"/>
      <c r="D63" s="17"/>
      <c r="E63" s="24">
        <f>IF(E16="krit",E29*_Aufpreis_Blendarm,0)
+IF(E17="krit",E30*_Aufpreis_Blendarm,0)</f>
        <v>0</v>
      </c>
      <c r="F63" s="22" t="s">
        <v>31</v>
      </c>
      <c r="G63" s="17"/>
      <c r="H63" s="24"/>
      <c r="I63" s="22"/>
      <c r="J63" s="17"/>
      <c r="K63" s="23"/>
      <c r="L63" s="16"/>
    </row>
    <row r="64" spans="1:18" s="21" customFormat="1" ht="19.899999999999999" hidden="1" customHeight="1" x14ac:dyDescent="0.25">
      <c r="A64" s="261"/>
      <c r="B64" s="20" t="s">
        <v>253</v>
      </c>
      <c r="C64" s="17"/>
      <c r="D64" s="17"/>
      <c r="E64" s="24">
        <f>IF(E60&gt;0,-SUM(H44:H49),0)</f>
        <v>0</v>
      </c>
      <c r="F64" s="22" t="s">
        <v>31</v>
      </c>
      <c r="G64" s="17"/>
      <c r="H64" s="24"/>
      <c r="I64" s="22"/>
      <c r="J64" s="17"/>
      <c r="K64" s="23"/>
      <c r="L64" s="16"/>
    </row>
    <row r="65" spans="1:18" s="21" customFormat="1" ht="19.899999999999999" hidden="1" customHeight="1" x14ac:dyDescent="0.25">
      <c r="A65" s="261"/>
      <c r="B65" s="20" t="s">
        <v>196</v>
      </c>
      <c r="C65" s="17"/>
      <c r="D65" s="17"/>
      <c r="E65" s="24">
        <f>SUM(E62:E64)</f>
        <v>0</v>
      </c>
      <c r="F65" s="22" t="s">
        <v>31</v>
      </c>
      <c r="G65" s="17"/>
      <c r="H65" s="24"/>
      <c r="I65" s="22"/>
      <c r="J65" s="17"/>
      <c r="K65" s="23"/>
      <c r="L65" s="16"/>
    </row>
    <row r="66" spans="1:18" s="21" customFormat="1" ht="19.899999999999999" hidden="1" customHeight="1" thickBot="1" x14ac:dyDescent="0.3">
      <c r="A66" s="261"/>
      <c r="B66" s="236" t="s">
        <v>367</v>
      </c>
      <c r="C66" s="28"/>
      <c r="D66" s="28" t="s">
        <v>350</v>
      </c>
      <c r="E66" s="237">
        <f>IFERROR(E65/(E40*E60)*100/25,0)</f>
        <v>0</v>
      </c>
      <c r="F66" s="157" t="s">
        <v>32</v>
      </c>
      <c r="G66" s="28" t="s">
        <v>294</v>
      </c>
      <c r="H66" s="237"/>
      <c r="I66" s="157"/>
      <c r="J66" s="28"/>
      <c r="K66" s="239"/>
      <c r="L66" s="16"/>
    </row>
    <row r="67" spans="1:18" s="14" customFormat="1" ht="12.75" hidden="1" x14ac:dyDescent="0.2">
      <c r="A67" s="262"/>
      <c r="L67"/>
    </row>
    <row r="68" spans="1:18" ht="12.75" x14ac:dyDescent="0.2">
      <c r="D68"/>
    </row>
    <row r="69" spans="1:18" s="12" customFormat="1" ht="20.25" x14ac:dyDescent="0.3">
      <c r="A69" s="259"/>
      <c r="B69" s="679" t="str">
        <f ca="1">"Dachaufbauten "&amp;MID(CELL("dateiname",B2),SEARCH("]",CELL("dateiname",B2))+1,31)</f>
        <v>Dachaufbauten Dachfläche (6)</v>
      </c>
      <c r="C69" s="679"/>
      <c r="D69" s="679"/>
      <c r="E69" s="679"/>
      <c r="N69"/>
      <c r="O69"/>
      <c r="P69"/>
      <c r="Q69"/>
      <c r="R69"/>
    </row>
    <row r="70" spans="1:18" s="14" customFormat="1" ht="12.75" hidden="1" x14ac:dyDescent="0.2">
      <c r="A70" s="262"/>
      <c r="B70" s="29"/>
      <c r="D70" s="14" t="s">
        <v>71</v>
      </c>
      <c r="F70" s="14">
        <v>-90</v>
      </c>
      <c r="G70" s="14">
        <v>-180</v>
      </c>
      <c r="H70" s="14">
        <v>90</v>
      </c>
      <c r="K70" s="30"/>
      <c r="L70"/>
    </row>
    <row r="71" spans="1:18" s="14" customFormat="1" ht="12.75" hidden="1" x14ac:dyDescent="0.2">
      <c r="A71" s="262"/>
      <c r="B71" s="29"/>
      <c r="D71" s="14" t="s">
        <v>60</v>
      </c>
      <c r="F71" s="31">
        <f>RADIANS(F70)</f>
        <v>-1.5707963267948966</v>
      </c>
      <c r="G71" s="31">
        <f t="shared" ref="G71:H71" si="1">RADIANS(G70)</f>
        <v>-3.1415926535897931</v>
      </c>
      <c r="H71" s="31">
        <f t="shared" si="1"/>
        <v>1.5707963267948966</v>
      </c>
      <c r="K71" s="30"/>
      <c r="L71"/>
    </row>
    <row r="72" spans="1:18" s="14" customFormat="1" ht="12.75" hidden="1" x14ac:dyDescent="0.2">
      <c r="A72" s="262"/>
      <c r="B72" s="29"/>
      <c r="D72" s="14" t="s">
        <v>61</v>
      </c>
      <c r="F72" s="14">
        <v>1</v>
      </c>
      <c r="G72" s="14">
        <v>3</v>
      </c>
      <c r="H72" s="14">
        <v>1</v>
      </c>
      <c r="K72" s="30"/>
      <c r="L72"/>
    </row>
    <row r="73" spans="1:18" s="14" customFormat="1" ht="12.75" hidden="1" x14ac:dyDescent="0.2">
      <c r="A73" s="262"/>
      <c r="B73" s="29"/>
      <c r="D73" s="14" t="s">
        <v>72</v>
      </c>
      <c r="F73" s="32">
        <f>$F$72*SIN(ATAN(1/$F$72))/SIN(ASIN(SIN($E$19)*COS($F$71-PI()+$E$18))+ATAN(1/$F$72))</f>
        <v>1</v>
      </c>
      <c r="G73" s="32">
        <f>$G$72*SIN(ATAN(1/$G$72))/SIN(ASIN(SIN(-$E$19)*COS($G$71-PI()+$E$18))+ATAN(1/$G$72))</f>
        <v>3</v>
      </c>
      <c r="H73" s="32">
        <f>$H$72*SIN(ATAN(1/$H$72))/SIN(ASIN(SIN($E$19)*COS($H$71-PI()+$E$18))+ATAN(1/$H$72))</f>
        <v>1</v>
      </c>
      <c r="K73" s="30"/>
      <c r="L73"/>
    </row>
    <row r="74" spans="1:18" s="14" customFormat="1" ht="12.75" hidden="1" x14ac:dyDescent="0.2">
      <c r="A74" s="262"/>
      <c r="B74" s="29"/>
      <c r="D74" s="14" t="s">
        <v>63</v>
      </c>
      <c r="F74" s="31">
        <f>ASIN(SIN($E$19)*COS(F71-$E$18))</f>
        <v>0</v>
      </c>
      <c r="G74" s="31">
        <f>ASIN(SIN($E$19)*COS(G71-$E$18))</f>
        <v>0</v>
      </c>
      <c r="H74" s="31">
        <f>ASIN(SIN($E$19)*COS(H71-$E$18))</f>
        <v>0</v>
      </c>
      <c r="K74" s="30"/>
      <c r="L74"/>
    </row>
    <row r="75" spans="1:18" s="14" customFormat="1" ht="12.75" hidden="1" x14ac:dyDescent="0.2">
      <c r="A75" s="262"/>
      <c r="B75" s="29"/>
      <c r="D75" s="14" t="s">
        <v>64</v>
      </c>
      <c r="F75" s="33">
        <f>F74*180/PI()</f>
        <v>0</v>
      </c>
      <c r="G75" s="33">
        <f t="shared" ref="G75:H75" si="2">G74*180/PI()</f>
        <v>0</v>
      </c>
      <c r="H75" s="33">
        <f t="shared" si="2"/>
        <v>0</v>
      </c>
      <c r="K75" s="30"/>
      <c r="L75"/>
    </row>
    <row r="76" spans="1:18" s="51" customFormat="1" ht="60" customHeight="1" x14ac:dyDescent="0.2">
      <c r="A76" s="265"/>
      <c r="B76" s="601" t="str">
        <f>_xlfn._LONGTEXT("Zu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f>
        <v>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v>
      </c>
      <c r="C76" s="601"/>
      <c r="D76" s="601"/>
      <c r="E76" s="601"/>
      <c r="F76" s="601"/>
      <c r="G76" s="601"/>
      <c r="H76" s="601"/>
      <c r="I76" s="601"/>
      <c r="J76" s="140"/>
      <c r="K76" s="140"/>
    </row>
    <row r="77" spans="1:18" s="16" customFormat="1" ht="19.899999999999999" customHeight="1" x14ac:dyDescent="0.25">
      <c r="A77" s="260"/>
      <c r="B77" s="428"/>
      <c r="C77" s="514"/>
      <c r="D77" s="559"/>
      <c r="E77" s="560"/>
      <c r="F77" s="717" t="s">
        <v>74</v>
      </c>
      <c r="G77" s="717"/>
      <c r="H77" s="717"/>
      <c r="I77"/>
      <c r="J77"/>
      <c r="K77"/>
    </row>
    <row r="78" spans="1:18" s="16" customFormat="1" ht="19.899999999999999" customHeight="1" x14ac:dyDescent="0.25">
      <c r="A78" s="260"/>
      <c r="B78" s="428" t="s">
        <v>78</v>
      </c>
      <c r="C78" s="514" t="s">
        <v>20</v>
      </c>
      <c r="D78" s="559"/>
      <c r="E78" s="562" t="s">
        <v>94</v>
      </c>
      <c r="F78" s="561" t="s">
        <v>75</v>
      </c>
      <c r="G78" s="561" t="s">
        <v>76</v>
      </c>
      <c r="H78" s="561" t="s">
        <v>77</v>
      </c>
      <c r="I78"/>
      <c r="J78"/>
      <c r="K78"/>
    </row>
    <row r="79" spans="1:18" s="16" customFormat="1" ht="19.899999999999999" customHeight="1" x14ac:dyDescent="0.25">
      <c r="A79" s="260"/>
      <c r="B79" s="563" t="s">
        <v>79</v>
      </c>
      <c r="C79" s="564"/>
      <c r="D79" s="565"/>
      <c r="E79" s="566" t="s">
        <v>73</v>
      </c>
      <c r="F79" s="566" t="s">
        <v>73</v>
      </c>
      <c r="G79" s="566" t="s">
        <v>73</v>
      </c>
      <c r="H79" s="566" t="s">
        <v>73</v>
      </c>
      <c r="I79" s="295"/>
      <c r="J79" s="295"/>
      <c r="K79" s="295"/>
    </row>
    <row r="80" spans="1:18" s="16" customFormat="1" ht="19.899999999999999" customHeight="1" x14ac:dyDescent="0.25">
      <c r="A80" s="260"/>
      <c r="B80" s="503">
        <v>1</v>
      </c>
      <c r="C80" s="567"/>
      <c r="D80" s="568"/>
      <c r="E80" s="569"/>
      <c r="F80" s="570" t="str">
        <f>IF(ISNUMBER($E80),$E80*IF($F$73&gt;0,MIN($F$72:$F$73),MAX($F$72:$F$73)),"")</f>
        <v/>
      </c>
      <c r="G80" s="570" t="str">
        <f>IF(ISNUMBER($E80),$E80*IF($G$73&gt;0,MIN($G$72:$G$73),MAX($G$72:$G$73)),"")</f>
        <v/>
      </c>
      <c r="H80" s="570" t="str">
        <f>IF(ISNUMBER($E80),$E80*IF($H$73&gt;0,MIN($H$72:$H$73),MAX($H$72:$H$73)),"")</f>
        <v/>
      </c>
      <c r="I80" s="303"/>
      <c r="J80" s="303"/>
      <c r="K80" s="303"/>
    </row>
    <row r="81" spans="1:11" s="16" customFormat="1" ht="19.899999999999999" customHeight="1" x14ac:dyDescent="0.25">
      <c r="A81" s="260"/>
      <c r="B81" s="505">
        <v>2</v>
      </c>
      <c r="C81" s="571"/>
      <c r="D81" s="572"/>
      <c r="E81" s="573"/>
      <c r="F81" s="574" t="str">
        <f>IF(ISNUMBER($E81),$E81*IF($F$73&gt;0,MIN($F$72:$F$73),MAX($F$72:$F$73)),"")</f>
        <v/>
      </c>
      <c r="G81" s="574" t="str">
        <f>IF(ISNUMBER($E81),$E81*IF($G$73&gt;0,MIN($G$72:$G$73),MAX($G$72:$G$73)),"")</f>
        <v/>
      </c>
      <c r="H81" s="574" t="str">
        <f>IF(ISNUMBER($E81),$E81*IF($H$73&gt;0,MIN($H$72:$H$73),MAX($H$72:$H$73)),"")</f>
        <v/>
      </c>
      <c r="I81" s="297"/>
      <c r="J81" s="297"/>
      <c r="K81" s="297"/>
    </row>
    <row r="82" spans="1:11" s="16" customFormat="1" ht="19.899999999999999" customHeight="1" x14ac:dyDescent="0.25">
      <c r="A82" s="260"/>
      <c r="B82" s="505">
        <v>3</v>
      </c>
      <c r="C82" s="571"/>
      <c r="D82" s="572"/>
      <c r="E82" s="573"/>
      <c r="F82" s="574" t="str">
        <f>IF(ISNUMBER($E82),$E82*IF($F$73&gt;0,MIN($F$72:$F$73),MAX($F$72:$F$73)),"")</f>
        <v/>
      </c>
      <c r="G82" s="574" t="str">
        <f>IF(ISNUMBER($E82),$E82*IF($G$73&gt;0,MIN($G$72:$G$73),MAX($G$72:$G$73)),"")</f>
        <v/>
      </c>
      <c r="H82" s="574" t="str">
        <f>IF(ISNUMBER($E82),$E82*IF($H$73&gt;0,MIN($H$72:$H$73),MAX($H$72:$H$73)),"")</f>
        <v/>
      </c>
      <c r="I82" s="297"/>
      <c r="J82" s="297"/>
      <c r="K82" s="297"/>
    </row>
    <row r="83" spans="1:11" s="16" customFormat="1" ht="19.899999999999999" customHeight="1" x14ac:dyDescent="0.25">
      <c r="A83" s="260"/>
      <c r="B83" s="505">
        <v>4</v>
      </c>
      <c r="C83" s="571"/>
      <c r="D83" s="572"/>
      <c r="E83" s="573"/>
      <c r="F83" s="574" t="str">
        <f>IF(ISNUMBER($E83),$E83*IF($F$73&gt;0,MIN($F$72:$F$73),MAX($F$72:$F$73)),"")</f>
        <v/>
      </c>
      <c r="G83" s="574" t="str">
        <f>IF(ISNUMBER($E83),$E83*IF($G$73&gt;0,MIN($G$72:$G$73),MAX($G$72:$G$73)),"")</f>
        <v/>
      </c>
      <c r="H83" s="574" t="str">
        <f>IF(ISNUMBER($E83),$E83*IF($H$73&gt;0,MIN($H$72:$H$73),MAX($H$72:$H$73)),"")</f>
        <v/>
      </c>
      <c r="I83" s="297"/>
      <c r="J83" s="297"/>
      <c r="K83" s="297"/>
    </row>
    <row r="84" spans="1:11" s="16" customFormat="1" ht="19.899999999999999" customHeight="1" x14ac:dyDescent="0.25">
      <c r="A84" s="260"/>
      <c r="B84" s="505">
        <v>5</v>
      </c>
      <c r="C84" s="571"/>
      <c r="D84" s="572"/>
      <c r="E84" s="573"/>
      <c r="F84" s="574" t="str">
        <f>IF(ISNUMBER($E84),$E84*IF($F$73&gt;0,MIN($F$72:$F$73),MAX($F$72:$F$73)),"")</f>
        <v/>
      </c>
      <c r="G84" s="574" t="str">
        <f>IF(ISNUMBER($E84),$E84*IF($G$73&gt;0,MIN($G$72:$G$73),MAX($G$72:$G$73)),"")</f>
        <v/>
      </c>
      <c r="H84" s="574" t="str">
        <f>IF(ISNUMBER($E84),$E84*IF($H$73&gt;0,MIN($H$72:$H$73),MAX($H$72:$H$73)),"")</f>
        <v/>
      </c>
      <c r="I84" s="297"/>
      <c r="J84" s="297"/>
      <c r="K84" s="297"/>
    </row>
    <row r="85" spans="1:11" ht="12.75" x14ac:dyDescent="0.2"/>
    <row r="86" spans="1:11" ht="12.75" x14ac:dyDescent="0.2"/>
    <row r="87" spans="1:11" ht="12.75" x14ac:dyDescent="0.2"/>
    <row r="88" spans="1:11" ht="15" customHeight="1" x14ac:dyDescent="0.2"/>
    <row r="89" spans="1:11" ht="15" customHeight="1" x14ac:dyDescent="0.2"/>
    <row r="90" spans="1:11" ht="15" customHeight="1" x14ac:dyDescent="0.2"/>
    <row r="91" spans="1:11" ht="15" hidden="1" customHeight="1" x14ac:dyDescent="0.2"/>
    <row r="92" spans="1:11" ht="15" hidden="1" customHeight="1" x14ac:dyDescent="0.2"/>
    <row r="93" spans="1:11" ht="15" hidden="1" customHeight="1" x14ac:dyDescent="0.2"/>
    <row r="94" spans="1:11" ht="14.1" hidden="1" customHeight="1" x14ac:dyDescent="0.2"/>
    <row r="95" spans="1:11" ht="14.1" hidden="1" customHeight="1" x14ac:dyDescent="0.2"/>
    <row r="96" spans="1:11" ht="14.1" hidden="1" customHeight="1" x14ac:dyDescent="0.2"/>
    <row r="97" ht="14.1" hidden="1" customHeight="1" x14ac:dyDescent="0.2"/>
    <row r="98" ht="14.1" hidden="1" customHeight="1" x14ac:dyDescent="0.2"/>
    <row r="99" ht="14.1" hidden="1" customHeight="1" x14ac:dyDescent="0.2"/>
    <row r="100" ht="14.1" hidden="1" customHeight="1" x14ac:dyDescent="0.2"/>
    <row r="101" ht="14.1" hidden="1" customHeight="1" x14ac:dyDescent="0.2"/>
    <row r="102" ht="14.1" hidden="1" customHeight="1" x14ac:dyDescent="0.2"/>
    <row r="103" ht="14.1" hidden="1" customHeight="1" x14ac:dyDescent="0.2"/>
    <row r="104" ht="14.1" hidden="1" customHeight="1" x14ac:dyDescent="0.2"/>
    <row r="105" ht="14.1" hidden="1" customHeight="1" x14ac:dyDescent="0.2"/>
    <row r="106" ht="14.1" hidden="1" customHeight="1" x14ac:dyDescent="0.2"/>
    <row r="107" ht="14.1" hidden="1" customHeight="1" x14ac:dyDescent="0.2"/>
    <row r="108" ht="14.1" hidden="1" customHeight="1" x14ac:dyDescent="0.2"/>
    <row r="109" ht="14.1" hidden="1" customHeight="1" x14ac:dyDescent="0.2"/>
    <row r="110" ht="14.1" hidden="1" customHeight="1" x14ac:dyDescent="0.2"/>
    <row r="111" ht="14.1" hidden="1" customHeight="1" x14ac:dyDescent="0.2"/>
    <row r="112" ht="14.1" hidden="1" customHeight="1" x14ac:dyDescent="0.2"/>
    <row r="113" ht="14.1" hidden="1" customHeight="1" x14ac:dyDescent="0.2"/>
    <row r="114" ht="14.1" hidden="1" customHeight="1" x14ac:dyDescent="0.2"/>
    <row r="115" ht="14.1" hidden="1" customHeight="1" x14ac:dyDescent="0.2"/>
    <row r="116" ht="14.1" hidden="1" customHeight="1" x14ac:dyDescent="0.2"/>
    <row r="117" ht="14.1" hidden="1" customHeight="1" x14ac:dyDescent="0.2"/>
    <row r="118" ht="14.1" hidden="1" customHeight="1" x14ac:dyDescent="0.2"/>
    <row r="119" ht="14.1" hidden="1" customHeight="1" x14ac:dyDescent="0.2"/>
    <row r="120" ht="14.1" hidden="1" customHeight="1" x14ac:dyDescent="0.2"/>
    <row r="121" ht="14.1" hidden="1" customHeight="1" x14ac:dyDescent="0.2"/>
    <row r="122" ht="14.1" hidden="1" customHeight="1" x14ac:dyDescent="0.2"/>
    <row r="123" ht="14.1" hidden="1" customHeight="1" x14ac:dyDescent="0.2"/>
    <row r="124" ht="14.1" hidden="1" customHeight="1" x14ac:dyDescent="0.2"/>
    <row r="125" ht="14.1" hidden="1" customHeight="1" x14ac:dyDescent="0.2"/>
    <row r="126" ht="14.1" hidden="1" customHeight="1" x14ac:dyDescent="0.2"/>
    <row r="127" ht="14.1" hidden="1" customHeight="1" x14ac:dyDescent="0.2"/>
    <row r="128" ht="14.1" hidden="1" customHeight="1" x14ac:dyDescent="0.2"/>
    <row r="129" ht="14.1" hidden="1" customHeight="1" x14ac:dyDescent="0.2"/>
    <row r="130" ht="14.1" hidden="1" customHeight="1" x14ac:dyDescent="0.2"/>
    <row r="131" ht="14.1" hidden="1" customHeight="1" x14ac:dyDescent="0.2"/>
    <row r="132" ht="14.1" hidden="1" customHeight="1" x14ac:dyDescent="0.2"/>
    <row r="133" ht="14.1" hidden="1" customHeight="1" x14ac:dyDescent="0.2"/>
    <row r="134" ht="14.1" hidden="1" customHeight="1" x14ac:dyDescent="0.2"/>
    <row r="135" ht="14.1" hidden="1" customHeight="1" x14ac:dyDescent="0.2"/>
    <row r="136" ht="14.1" hidden="1" customHeight="1" x14ac:dyDescent="0.2"/>
    <row r="137" ht="14.1" hidden="1" customHeight="1" x14ac:dyDescent="0.2"/>
    <row r="138" ht="14.1" hidden="1" customHeight="1" x14ac:dyDescent="0.2"/>
    <row r="139" ht="14.1" hidden="1" customHeight="1" x14ac:dyDescent="0.2"/>
    <row r="140" ht="14.1" hidden="1" customHeight="1" x14ac:dyDescent="0.2"/>
    <row r="141" ht="14.1" hidden="1" customHeight="1" x14ac:dyDescent="0.2"/>
    <row r="142" ht="14.1" hidden="1" customHeight="1" x14ac:dyDescent="0.2"/>
    <row r="143" ht="14.1" hidden="1" customHeight="1" x14ac:dyDescent="0.2"/>
    <row r="144" ht="14.1" hidden="1" customHeight="1" x14ac:dyDescent="0.2"/>
    <row r="145" ht="14.1" hidden="1" customHeight="1" x14ac:dyDescent="0.2"/>
    <row r="146" ht="14.1" hidden="1" customHeight="1" x14ac:dyDescent="0.2"/>
    <row r="147" ht="14.1" hidden="1" customHeight="1" x14ac:dyDescent="0.2"/>
    <row r="148" ht="14.1" hidden="1" customHeight="1" x14ac:dyDescent="0.2"/>
    <row r="149" ht="14.1" hidden="1" customHeight="1" x14ac:dyDescent="0.2"/>
    <row r="150" ht="14.1" hidden="1" customHeight="1" x14ac:dyDescent="0.2"/>
    <row r="151" ht="14.1" hidden="1" customHeight="1" x14ac:dyDescent="0.2"/>
    <row r="152" ht="14.1" hidden="1" customHeight="1" x14ac:dyDescent="0.2"/>
    <row r="153" ht="14.1" hidden="1" customHeight="1" x14ac:dyDescent="0.2"/>
    <row r="154" ht="14.1" hidden="1" customHeight="1" x14ac:dyDescent="0.2"/>
    <row r="155" ht="14.1" hidden="1" customHeight="1" x14ac:dyDescent="0.2"/>
    <row r="156" ht="14.1" hidden="1" customHeight="1" x14ac:dyDescent="0.2"/>
    <row r="157" ht="14.1" hidden="1" customHeight="1" x14ac:dyDescent="0.2"/>
    <row r="158" ht="14.1" hidden="1" customHeight="1" x14ac:dyDescent="0.2"/>
    <row r="159" ht="14.1" hidden="1" customHeight="1" x14ac:dyDescent="0.2"/>
    <row r="160" ht="14.1" hidden="1" customHeight="1" x14ac:dyDescent="0.2"/>
    <row r="161" ht="14.1" hidden="1" customHeight="1" x14ac:dyDescent="0.2"/>
    <row r="162" ht="14.1" hidden="1" customHeight="1" x14ac:dyDescent="0.2"/>
    <row r="163" ht="14.1" hidden="1" customHeight="1" x14ac:dyDescent="0.2"/>
    <row r="164" ht="14.1" hidden="1" customHeight="1" x14ac:dyDescent="0.2"/>
    <row r="165" ht="14.1" hidden="1" customHeight="1" x14ac:dyDescent="0.2"/>
    <row r="166" ht="14.1" hidden="1" customHeight="1" x14ac:dyDescent="0.2"/>
    <row r="167" ht="14.1" hidden="1" customHeight="1" x14ac:dyDescent="0.2"/>
    <row r="168" ht="14.1" hidden="1" customHeight="1" x14ac:dyDescent="0.2"/>
    <row r="169" ht="14.1" hidden="1" customHeight="1" x14ac:dyDescent="0.2"/>
    <row r="170" ht="14.1" hidden="1" customHeight="1" x14ac:dyDescent="0.2"/>
    <row r="171" ht="14.1" hidden="1" customHeight="1" x14ac:dyDescent="0.2"/>
    <row r="172" ht="14.1" hidden="1" customHeight="1" x14ac:dyDescent="0.2"/>
    <row r="173" ht="14.1" hidden="1" customHeight="1" x14ac:dyDescent="0.2"/>
    <row r="174" ht="14.1" hidden="1" customHeight="1" x14ac:dyDescent="0.2"/>
    <row r="175" ht="14.1" hidden="1" customHeight="1" x14ac:dyDescent="0.2"/>
    <row r="176" ht="14.1" hidden="1" customHeight="1" x14ac:dyDescent="0.2"/>
    <row r="177" ht="14.1" hidden="1" customHeight="1" x14ac:dyDescent="0.2"/>
    <row r="178" ht="14.1" hidden="1" customHeight="1" x14ac:dyDescent="0.2"/>
    <row r="179" ht="14.1" hidden="1" customHeight="1" x14ac:dyDescent="0.2"/>
    <row r="180" ht="14.1" hidden="1" customHeight="1" x14ac:dyDescent="0.2"/>
    <row r="181" ht="14.1" hidden="1" customHeight="1" x14ac:dyDescent="0.2"/>
    <row r="182" ht="14.1" hidden="1" customHeight="1" x14ac:dyDescent="0.2"/>
    <row r="183" ht="14.1" hidden="1" customHeight="1" x14ac:dyDescent="0.2"/>
    <row r="184" ht="14.1" hidden="1" customHeight="1" x14ac:dyDescent="0.2"/>
    <row r="185" ht="14.1" hidden="1" customHeight="1" x14ac:dyDescent="0.2"/>
    <row r="186" ht="14.1" hidden="1" customHeight="1" x14ac:dyDescent="0.2"/>
    <row r="187" ht="14.1" hidden="1" customHeight="1" x14ac:dyDescent="0.2"/>
    <row r="188" ht="14.1" hidden="1" customHeight="1" x14ac:dyDescent="0.2"/>
    <row r="189" ht="14.1" hidden="1" customHeight="1" x14ac:dyDescent="0.2"/>
    <row r="190" ht="14.1" hidden="1" customHeight="1" x14ac:dyDescent="0.2"/>
    <row r="191" ht="14.1" hidden="1" customHeight="1" x14ac:dyDescent="0.2"/>
    <row r="192" ht="14.1" hidden="1" customHeight="1" x14ac:dyDescent="0.2"/>
    <row r="193" ht="14.1" hidden="1" customHeight="1" x14ac:dyDescent="0.2"/>
    <row r="194" ht="14.1" hidden="1" customHeight="1" x14ac:dyDescent="0.2"/>
    <row r="195" ht="14.1" hidden="1" customHeight="1" x14ac:dyDescent="0.2"/>
    <row r="196" ht="14.1" hidden="1" customHeight="1" x14ac:dyDescent="0.2"/>
    <row r="197" ht="14.1" hidden="1" customHeight="1" x14ac:dyDescent="0.2"/>
    <row r="198" ht="14.1" hidden="1" customHeight="1" x14ac:dyDescent="0.2"/>
    <row r="199" ht="14.1" hidden="1" customHeight="1" x14ac:dyDescent="0.2"/>
    <row r="200" ht="14.1" hidden="1" customHeight="1" x14ac:dyDescent="0.2"/>
    <row r="201" ht="14.1" hidden="1" customHeight="1" x14ac:dyDescent="0.2"/>
    <row r="202" ht="14.1" hidden="1" customHeight="1" x14ac:dyDescent="0.2"/>
    <row r="203" ht="14.1" hidden="1" customHeight="1" x14ac:dyDescent="0.2"/>
    <row r="204" ht="14.1" hidden="1" customHeight="1" x14ac:dyDescent="0.2"/>
    <row r="205" ht="14.1" hidden="1" customHeight="1" x14ac:dyDescent="0.2"/>
    <row r="206" ht="14.1" hidden="1" customHeight="1" x14ac:dyDescent="0.2"/>
    <row r="207" ht="14.1" hidden="1" customHeight="1" x14ac:dyDescent="0.2"/>
    <row r="208" ht="14.1" hidden="1" customHeight="1" x14ac:dyDescent="0.2"/>
    <row r="209" ht="14.1" hidden="1" customHeight="1" x14ac:dyDescent="0.2"/>
    <row r="210" ht="14.1" hidden="1" customHeight="1" x14ac:dyDescent="0.2"/>
    <row r="211" ht="14.1" hidden="1" customHeight="1" x14ac:dyDescent="0.2"/>
    <row r="212" ht="14.1" hidden="1" customHeight="1" x14ac:dyDescent="0.2"/>
    <row r="213" ht="14.1" hidden="1" customHeight="1" x14ac:dyDescent="0.2"/>
    <row r="214" ht="14.1" hidden="1" customHeight="1" x14ac:dyDescent="0.2"/>
    <row r="215" ht="14.1" hidden="1" customHeight="1" x14ac:dyDescent="0.2"/>
    <row r="216" ht="14.1" hidden="1" customHeight="1" x14ac:dyDescent="0.2"/>
    <row r="217" ht="14.1" hidden="1" customHeight="1" x14ac:dyDescent="0.2"/>
    <row r="218" ht="14.1" hidden="1" customHeight="1" x14ac:dyDescent="0.2"/>
    <row r="219" ht="14.1" hidden="1" customHeight="1" x14ac:dyDescent="0.2"/>
    <row r="220" ht="14.1" hidden="1" customHeight="1" x14ac:dyDescent="0.2"/>
    <row r="221" ht="14.1" hidden="1" customHeight="1" x14ac:dyDescent="0.2"/>
    <row r="222" ht="14.1" hidden="1" customHeight="1" x14ac:dyDescent="0.2"/>
    <row r="223" ht="14.1" hidden="1" customHeight="1" x14ac:dyDescent="0.2"/>
    <row r="224" ht="14.1" hidden="1" customHeight="1" x14ac:dyDescent="0.2"/>
    <row r="225" ht="14.1" hidden="1" customHeight="1" x14ac:dyDescent="0.2"/>
    <row r="226" ht="14.1" hidden="1" customHeight="1" x14ac:dyDescent="0.2"/>
    <row r="227" ht="14.1" hidden="1" customHeight="1" x14ac:dyDescent="0.2"/>
    <row r="228" ht="14.1" hidden="1" customHeight="1" x14ac:dyDescent="0.2"/>
    <row r="229" ht="14.1" hidden="1" customHeight="1" x14ac:dyDescent="0.2"/>
    <row r="230" ht="14.1" hidden="1" customHeight="1" x14ac:dyDescent="0.2"/>
    <row r="231" ht="14.1" hidden="1" customHeight="1" x14ac:dyDescent="0.2"/>
    <row r="232" ht="14.1" hidden="1" customHeight="1" x14ac:dyDescent="0.2"/>
    <row r="233" ht="14.1" hidden="1" customHeight="1" x14ac:dyDescent="0.2"/>
    <row r="234" ht="14.1" hidden="1" customHeight="1" x14ac:dyDescent="0.2"/>
    <row r="235" ht="14.1" hidden="1" customHeight="1" x14ac:dyDescent="0.2"/>
    <row r="236" ht="14.1" hidden="1" customHeight="1" x14ac:dyDescent="0.2"/>
    <row r="237" ht="14.1" hidden="1" customHeight="1" x14ac:dyDescent="0.2"/>
    <row r="238" ht="14.1" hidden="1" customHeight="1" x14ac:dyDescent="0.2"/>
    <row r="239" ht="14.1" hidden="1" customHeight="1" x14ac:dyDescent="0.2"/>
    <row r="240" ht="14.1" hidden="1" customHeight="1" x14ac:dyDescent="0.2"/>
    <row r="241" ht="14.1" hidden="1" customHeight="1" x14ac:dyDescent="0.2"/>
    <row r="242" ht="14.1" hidden="1" customHeight="1" x14ac:dyDescent="0.2"/>
    <row r="243" ht="14.1" hidden="1" customHeight="1" x14ac:dyDescent="0.2"/>
    <row r="244" ht="14.1" hidden="1" customHeight="1" x14ac:dyDescent="0.2"/>
    <row r="245" ht="14.1" hidden="1" customHeight="1" x14ac:dyDescent="0.2"/>
    <row r="246" ht="14.1" hidden="1" customHeight="1" x14ac:dyDescent="0.2"/>
    <row r="247" ht="14.1" hidden="1" customHeight="1" x14ac:dyDescent="0.2"/>
    <row r="248" ht="14.1" hidden="1" customHeight="1" x14ac:dyDescent="0.2"/>
    <row r="249" ht="14.1" hidden="1" customHeight="1" x14ac:dyDescent="0.2"/>
    <row r="250" ht="14.1" hidden="1" customHeight="1" x14ac:dyDescent="0.2"/>
    <row r="251" ht="14.1" hidden="1" customHeight="1" x14ac:dyDescent="0.2"/>
    <row r="252" ht="14.1" hidden="1" customHeight="1" x14ac:dyDescent="0.2"/>
    <row r="253" ht="14.1" hidden="1" customHeight="1" x14ac:dyDescent="0.2"/>
    <row r="254" ht="14.1" hidden="1" customHeight="1" x14ac:dyDescent="0.2"/>
    <row r="255" ht="14.1" hidden="1" customHeight="1" x14ac:dyDescent="0.2"/>
    <row r="256" ht="14.1" hidden="1" customHeight="1" x14ac:dyDescent="0.2"/>
    <row r="257" ht="14.1" hidden="1" customHeight="1" x14ac:dyDescent="0.2"/>
    <row r="258" ht="14.1" hidden="1" customHeight="1" x14ac:dyDescent="0.2"/>
    <row r="259" ht="14.1" hidden="1" customHeight="1" x14ac:dyDescent="0.2"/>
    <row r="260" ht="14.1" hidden="1" customHeight="1" x14ac:dyDescent="0.2"/>
    <row r="261" ht="14.1" hidden="1" customHeight="1" x14ac:dyDescent="0.2"/>
    <row r="262" ht="14.1" hidden="1" customHeight="1" x14ac:dyDescent="0.2"/>
    <row r="263" ht="14.1" hidden="1" customHeight="1" x14ac:dyDescent="0.2"/>
    <row r="264" ht="14.1" hidden="1" customHeight="1" x14ac:dyDescent="0.2"/>
    <row r="265" ht="14.1" hidden="1" customHeight="1" x14ac:dyDescent="0.2"/>
    <row r="266" ht="14.1" hidden="1" customHeight="1" x14ac:dyDescent="0.2"/>
    <row r="267" ht="14.1" hidden="1" customHeight="1" x14ac:dyDescent="0.2"/>
    <row r="268" ht="14.1" hidden="1" customHeight="1" x14ac:dyDescent="0.2"/>
    <row r="269" ht="14.1" hidden="1" customHeight="1" x14ac:dyDescent="0.2"/>
    <row r="270" ht="14.1" hidden="1" customHeight="1" x14ac:dyDescent="0.2"/>
    <row r="271" ht="14.1" hidden="1" customHeight="1" x14ac:dyDescent="0.2"/>
    <row r="272" ht="14.1" hidden="1" customHeight="1" x14ac:dyDescent="0.2"/>
    <row r="273" ht="14.1" hidden="1" customHeight="1" x14ac:dyDescent="0.2"/>
    <row r="274" ht="14.1" hidden="1" customHeight="1" x14ac:dyDescent="0.2"/>
    <row r="275" ht="14.1" hidden="1" customHeight="1" x14ac:dyDescent="0.2"/>
    <row r="276" ht="14.1" hidden="1" customHeight="1" x14ac:dyDescent="0.2"/>
    <row r="277" ht="14.1" hidden="1" customHeight="1" x14ac:dyDescent="0.2"/>
    <row r="278" ht="14.1" hidden="1" customHeight="1" x14ac:dyDescent="0.2"/>
    <row r="279" ht="14.1" hidden="1" customHeight="1" x14ac:dyDescent="0.2"/>
    <row r="280" ht="14.1" hidden="1" customHeight="1" x14ac:dyDescent="0.2"/>
    <row r="281" ht="14.1" hidden="1" customHeight="1" x14ac:dyDescent="0.2"/>
    <row r="282" ht="14.1" hidden="1" customHeight="1" x14ac:dyDescent="0.2"/>
    <row r="283" ht="14.1" hidden="1" customHeight="1" x14ac:dyDescent="0.2"/>
    <row r="284" ht="14.1" hidden="1" customHeight="1" x14ac:dyDescent="0.2"/>
    <row r="285" ht="14.1" hidden="1" customHeight="1" x14ac:dyDescent="0.2"/>
    <row r="286" ht="14.1" hidden="1" customHeight="1" x14ac:dyDescent="0.2"/>
    <row r="287" ht="14.1" hidden="1" customHeight="1" x14ac:dyDescent="0.2"/>
    <row r="288" ht="14.1" hidden="1" customHeight="1" x14ac:dyDescent="0.2"/>
    <row r="289" ht="14.1" hidden="1" customHeight="1" x14ac:dyDescent="0.2"/>
    <row r="290" ht="14.1" hidden="1" customHeight="1" x14ac:dyDescent="0.2"/>
    <row r="291" ht="14.1" hidden="1" customHeight="1" x14ac:dyDescent="0.2"/>
    <row r="292" ht="14.1" hidden="1" customHeight="1" x14ac:dyDescent="0.2"/>
    <row r="293" ht="14.1" hidden="1" customHeight="1" x14ac:dyDescent="0.2"/>
    <row r="294" ht="14.1" hidden="1" customHeight="1" x14ac:dyDescent="0.2"/>
    <row r="295" ht="14.1" hidden="1" customHeight="1" x14ac:dyDescent="0.2"/>
    <row r="296" ht="14.1" hidden="1" customHeight="1" x14ac:dyDescent="0.2"/>
    <row r="297" ht="14.1" hidden="1" customHeight="1" x14ac:dyDescent="0.2"/>
    <row r="298" ht="14.1" hidden="1" customHeight="1" x14ac:dyDescent="0.2"/>
    <row r="299" ht="14.1" hidden="1" customHeight="1" x14ac:dyDescent="0.2"/>
    <row r="300" ht="14.1" hidden="1" customHeight="1" x14ac:dyDescent="0.2"/>
    <row r="301" ht="14.1" hidden="1" customHeight="1" x14ac:dyDescent="0.2"/>
    <row r="302" ht="14.1" hidden="1" customHeight="1" x14ac:dyDescent="0.2"/>
    <row r="303" ht="14.1" hidden="1" customHeight="1" x14ac:dyDescent="0.2"/>
    <row r="304" ht="14.1" hidden="1" customHeight="1" x14ac:dyDescent="0.2"/>
    <row r="305" ht="14.1" hidden="1" customHeight="1" x14ac:dyDescent="0.2"/>
    <row r="306" ht="14.1" hidden="1" customHeight="1" x14ac:dyDescent="0.2"/>
    <row r="307" ht="14.1" hidden="1" customHeight="1" x14ac:dyDescent="0.2"/>
    <row r="308" ht="14.1" hidden="1" customHeight="1" x14ac:dyDescent="0.2"/>
    <row r="309" ht="14.1" hidden="1" customHeight="1" x14ac:dyDescent="0.2"/>
    <row r="310" ht="14.1" hidden="1" customHeight="1" x14ac:dyDescent="0.2"/>
    <row r="311" ht="14.1" hidden="1" customHeight="1" x14ac:dyDescent="0.2"/>
    <row r="312" ht="14.1" hidden="1" customHeight="1" x14ac:dyDescent="0.2"/>
    <row r="313" ht="14.1" hidden="1" customHeight="1" x14ac:dyDescent="0.2"/>
    <row r="314" ht="14.1" hidden="1" customHeight="1" x14ac:dyDescent="0.2"/>
    <row r="315" ht="14.1" hidden="1" customHeight="1" x14ac:dyDescent="0.2"/>
    <row r="316" ht="14.1" hidden="1" customHeight="1" x14ac:dyDescent="0.2"/>
    <row r="317" ht="14.1" hidden="1" customHeight="1" x14ac:dyDescent="0.2"/>
    <row r="318" ht="14.1" hidden="1" customHeight="1" x14ac:dyDescent="0.2"/>
    <row r="319" ht="14.1" hidden="1" customHeight="1" x14ac:dyDescent="0.2"/>
    <row r="320" ht="14.1" hidden="1" customHeight="1" x14ac:dyDescent="0.2"/>
    <row r="321" ht="14.1" hidden="1" customHeight="1" x14ac:dyDescent="0.2"/>
    <row r="322" ht="14.1" hidden="1" customHeight="1" x14ac:dyDescent="0.2"/>
    <row r="323" ht="14.1" hidden="1" customHeight="1" x14ac:dyDescent="0.2"/>
    <row r="324" ht="14.1" hidden="1" customHeight="1" x14ac:dyDescent="0.2"/>
    <row r="325" ht="14.1" hidden="1" customHeight="1" x14ac:dyDescent="0.2"/>
    <row r="326" ht="14.1" hidden="1" customHeight="1" x14ac:dyDescent="0.2"/>
    <row r="327" ht="14.1" hidden="1" customHeight="1" x14ac:dyDescent="0.2"/>
    <row r="328" ht="14.1" hidden="1" customHeight="1" x14ac:dyDescent="0.2"/>
    <row r="329" ht="14.1" hidden="1" customHeight="1" x14ac:dyDescent="0.2"/>
    <row r="330" ht="14.1" hidden="1" customHeight="1" x14ac:dyDescent="0.2"/>
    <row r="331" ht="14.1" hidden="1" customHeight="1" x14ac:dyDescent="0.2"/>
    <row r="332" ht="14.1" hidden="1" customHeight="1" x14ac:dyDescent="0.2"/>
    <row r="333" ht="14.1" hidden="1" customHeight="1" x14ac:dyDescent="0.2"/>
    <row r="334" ht="14.1" hidden="1" customHeight="1" x14ac:dyDescent="0.2"/>
    <row r="335" ht="14.1" hidden="1" customHeight="1" x14ac:dyDescent="0.2"/>
    <row r="336" ht="14.1" hidden="1" customHeight="1" x14ac:dyDescent="0.2"/>
    <row r="337" ht="14.1" hidden="1" customHeight="1" x14ac:dyDescent="0.2"/>
    <row r="338" ht="14.1" hidden="1" customHeight="1" x14ac:dyDescent="0.2"/>
    <row r="339" ht="14.1" hidden="1" customHeight="1" x14ac:dyDescent="0.2"/>
    <row r="340" ht="14.1" hidden="1" customHeight="1" x14ac:dyDescent="0.2"/>
    <row r="341" ht="14.1" hidden="1" customHeight="1" x14ac:dyDescent="0.2"/>
    <row r="342" ht="14.1" hidden="1" customHeight="1" x14ac:dyDescent="0.2"/>
    <row r="343" ht="14.1" hidden="1" customHeight="1" x14ac:dyDescent="0.2"/>
    <row r="344" ht="14.1" hidden="1" customHeight="1" x14ac:dyDescent="0.2"/>
    <row r="345" ht="14.1" hidden="1" customHeight="1" x14ac:dyDescent="0.2"/>
    <row r="346" ht="14.1" hidden="1" customHeight="1" x14ac:dyDescent="0.2"/>
    <row r="347" ht="14.1" hidden="1" customHeight="1" x14ac:dyDescent="0.2"/>
    <row r="348" ht="14.1" hidden="1" customHeight="1" x14ac:dyDescent="0.2"/>
    <row r="349" ht="14.1" hidden="1" customHeight="1" x14ac:dyDescent="0.2"/>
    <row r="350" ht="14.1" hidden="1" customHeight="1" x14ac:dyDescent="0.2"/>
    <row r="351" ht="14.1" hidden="1" customHeight="1" x14ac:dyDescent="0.2"/>
    <row r="352" ht="14.1" hidden="1" customHeight="1" x14ac:dyDescent="0.2"/>
    <row r="353" ht="14.1" hidden="1" customHeight="1" x14ac:dyDescent="0.2"/>
    <row r="354" ht="14.1" hidden="1" customHeight="1" x14ac:dyDescent="0.2"/>
    <row r="355" ht="14.1" hidden="1" customHeight="1" x14ac:dyDescent="0.2"/>
    <row r="356" ht="14.1" hidden="1" customHeight="1" x14ac:dyDescent="0.2"/>
    <row r="357" ht="14.1" hidden="1" customHeight="1" x14ac:dyDescent="0.2"/>
    <row r="358" ht="14.1" hidden="1" customHeight="1" x14ac:dyDescent="0.2"/>
    <row r="359" ht="14.1" hidden="1" customHeight="1" x14ac:dyDescent="0.2"/>
    <row r="360" ht="14.1" hidden="1" customHeight="1" x14ac:dyDescent="0.2"/>
    <row r="361" ht="14.1" hidden="1" customHeight="1" x14ac:dyDescent="0.2"/>
    <row r="362" ht="14.1" hidden="1" customHeight="1" x14ac:dyDescent="0.2"/>
    <row r="363" ht="14.1" hidden="1" customHeight="1" x14ac:dyDescent="0.2"/>
    <row r="364" ht="14.1" hidden="1" customHeight="1" x14ac:dyDescent="0.2"/>
    <row r="365" ht="14.1" hidden="1" customHeight="1" x14ac:dyDescent="0.2"/>
    <row r="366" ht="14.1" hidden="1" customHeight="1" x14ac:dyDescent="0.2"/>
    <row r="367" ht="14.1" hidden="1" customHeight="1" x14ac:dyDescent="0.2"/>
    <row r="368" ht="14.1" hidden="1" customHeight="1" x14ac:dyDescent="0.2"/>
    <row r="369" ht="14.1" hidden="1" customHeight="1" x14ac:dyDescent="0.2"/>
    <row r="370" ht="14.1" hidden="1" customHeight="1" x14ac:dyDescent="0.2"/>
    <row r="371" ht="14.1" hidden="1" customHeight="1" x14ac:dyDescent="0.2"/>
    <row r="372" ht="14.1" hidden="1" customHeight="1" x14ac:dyDescent="0.2"/>
    <row r="373" ht="14.1" hidden="1" customHeight="1" x14ac:dyDescent="0.2"/>
    <row r="374" ht="14.1" hidden="1" customHeight="1" x14ac:dyDescent="0.2"/>
    <row r="375" ht="14.1" hidden="1" customHeight="1" x14ac:dyDescent="0.2"/>
    <row r="376" ht="14.1" hidden="1" customHeight="1" x14ac:dyDescent="0.2"/>
    <row r="377" ht="14.1" hidden="1" customHeight="1" x14ac:dyDescent="0.2"/>
    <row r="378" ht="14.1" hidden="1" customHeight="1" x14ac:dyDescent="0.2"/>
    <row r="379" ht="14.1" hidden="1" customHeight="1" x14ac:dyDescent="0.2"/>
    <row r="380" ht="14.1" hidden="1" customHeight="1" x14ac:dyDescent="0.2"/>
    <row r="381" ht="14.1" hidden="1" customHeight="1" x14ac:dyDescent="0.2"/>
    <row r="382" ht="14.1" hidden="1" customHeight="1" x14ac:dyDescent="0.2"/>
    <row r="383" ht="14.1" hidden="1" customHeight="1" x14ac:dyDescent="0.2"/>
    <row r="384" ht="14.1" hidden="1" customHeight="1" x14ac:dyDescent="0.2"/>
    <row r="385" ht="14.1" hidden="1" customHeight="1" x14ac:dyDescent="0.2"/>
    <row r="386" ht="14.1" hidden="1" customHeight="1" x14ac:dyDescent="0.2"/>
    <row r="387" ht="14.1" hidden="1" customHeight="1" x14ac:dyDescent="0.2"/>
    <row r="388" ht="14.1" hidden="1" customHeight="1" x14ac:dyDescent="0.2"/>
    <row r="389" ht="14.1" hidden="1" customHeight="1" x14ac:dyDescent="0.2"/>
    <row r="390" ht="14.1" hidden="1" customHeight="1" x14ac:dyDescent="0.2"/>
    <row r="391" ht="14.1" hidden="1" customHeight="1" x14ac:dyDescent="0.2"/>
    <row r="392" ht="14.1" hidden="1" customHeight="1" x14ac:dyDescent="0.2"/>
    <row r="393" ht="14.1" hidden="1" customHeight="1" x14ac:dyDescent="0.2"/>
    <row r="394" ht="14.1" hidden="1" customHeight="1" x14ac:dyDescent="0.2"/>
    <row r="395" ht="14.1" hidden="1" customHeight="1" x14ac:dyDescent="0.2"/>
    <row r="396" ht="14.1" hidden="1" customHeight="1" x14ac:dyDescent="0.2"/>
    <row r="397" ht="14.1" hidden="1" customHeight="1" x14ac:dyDescent="0.2"/>
    <row r="398" ht="14.1" hidden="1" customHeight="1" x14ac:dyDescent="0.2"/>
    <row r="399" ht="14.1" hidden="1" customHeight="1" x14ac:dyDescent="0.2"/>
    <row r="400" ht="14.1" hidden="1" customHeight="1" x14ac:dyDescent="0.2"/>
    <row r="401" ht="14.1" hidden="1" customHeight="1" x14ac:dyDescent="0.2"/>
    <row r="402" ht="14.1" hidden="1" customHeight="1" x14ac:dyDescent="0.2"/>
    <row r="403" ht="14.1" hidden="1" customHeight="1" x14ac:dyDescent="0.2"/>
    <row r="404" ht="14.1" hidden="1" customHeight="1" x14ac:dyDescent="0.2"/>
    <row r="405" ht="14.1" hidden="1" customHeight="1" x14ac:dyDescent="0.2"/>
    <row r="406" ht="14.1" hidden="1" customHeight="1" x14ac:dyDescent="0.2"/>
    <row r="407" ht="14.1" hidden="1" customHeight="1" x14ac:dyDescent="0.2"/>
    <row r="408" ht="14.1" hidden="1" customHeight="1" x14ac:dyDescent="0.2"/>
    <row r="409" ht="14.1" hidden="1" customHeight="1" x14ac:dyDescent="0.2"/>
    <row r="410" ht="14.1" hidden="1" customHeight="1" x14ac:dyDescent="0.2"/>
    <row r="411" ht="14.1" hidden="1" customHeight="1" x14ac:dyDescent="0.2"/>
    <row r="412" ht="14.1" hidden="1" customHeight="1" x14ac:dyDescent="0.2"/>
    <row r="413" ht="14.1" hidden="1" customHeight="1" x14ac:dyDescent="0.2"/>
    <row r="414" ht="14.1" hidden="1" customHeight="1" x14ac:dyDescent="0.2"/>
    <row r="415" ht="14.1" hidden="1" customHeight="1" x14ac:dyDescent="0.2"/>
    <row r="416" ht="14.1" hidden="1" customHeight="1" x14ac:dyDescent="0.2"/>
    <row r="417" ht="14.1" hidden="1" customHeight="1" x14ac:dyDescent="0.2"/>
    <row r="418" ht="14.1" hidden="1" customHeight="1" x14ac:dyDescent="0.2"/>
    <row r="419" ht="14.1" hidden="1" customHeight="1" x14ac:dyDescent="0.2"/>
    <row r="420" ht="14.1" hidden="1" customHeight="1" x14ac:dyDescent="0.2"/>
    <row r="421" ht="14.1" hidden="1" customHeight="1" x14ac:dyDescent="0.2"/>
    <row r="422" ht="14.1" hidden="1" customHeight="1" x14ac:dyDescent="0.2"/>
    <row r="423" ht="14.1" hidden="1" customHeight="1" x14ac:dyDescent="0.2"/>
    <row r="424" ht="14.1" hidden="1" customHeight="1" x14ac:dyDescent="0.2"/>
    <row r="425" ht="14.1" hidden="1" customHeight="1" x14ac:dyDescent="0.2"/>
    <row r="426" ht="14.1" hidden="1" customHeight="1" x14ac:dyDescent="0.2"/>
    <row r="427" ht="14.1" hidden="1" customHeight="1" x14ac:dyDescent="0.2"/>
    <row r="428" ht="14.1" hidden="1" customHeight="1" x14ac:dyDescent="0.2"/>
    <row r="429" ht="14.1" hidden="1" customHeight="1" x14ac:dyDescent="0.2"/>
    <row r="430" ht="14.1" hidden="1" customHeight="1" x14ac:dyDescent="0.2"/>
    <row r="431" ht="14.1" hidden="1" customHeight="1" x14ac:dyDescent="0.2"/>
    <row r="432" ht="14.1" hidden="1" customHeight="1" x14ac:dyDescent="0.2"/>
    <row r="433" ht="14.1" hidden="1" customHeight="1" x14ac:dyDescent="0.2"/>
    <row r="434" ht="14.1" hidden="1" customHeight="1" x14ac:dyDescent="0.2"/>
    <row r="435" ht="14.1" hidden="1" customHeight="1" x14ac:dyDescent="0.2"/>
    <row r="436" ht="14.1" hidden="1" customHeight="1" x14ac:dyDescent="0.2"/>
    <row r="437" ht="14.1" hidden="1" customHeight="1" x14ac:dyDescent="0.2"/>
    <row r="438" ht="14.1" hidden="1" customHeight="1" x14ac:dyDescent="0.2"/>
    <row r="439" ht="14.1" hidden="1" customHeight="1" x14ac:dyDescent="0.2"/>
    <row r="440" ht="14.1" hidden="1" customHeight="1" x14ac:dyDescent="0.2"/>
    <row r="441" ht="14.1" hidden="1" customHeight="1" x14ac:dyDescent="0.2"/>
    <row r="442" ht="14.1" hidden="1" customHeight="1" x14ac:dyDescent="0.2"/>
    <row r="443" ht="14.1" hidden="1" customHeight="1" x14ac:dyDescent="0.2"/>
    <row r="444" ht="14.1" hidden="1" customHeight="1" x14ac:dyDescent="0.2"/>
    <row r="445" ht="14.1" hidden="1" customHeight="1" x14ac:dyDescent="0.2"/>
    <row r="446" ht="14.1" hidden="1" customHeight="1" x14ac:dyDescent="0.2"/>
    <row r="447" ht="14.1" hidden="1" customHeight="1" x14ac:dyDescent="0.2"/>
    <row r="448" ht="14.1" hidden="1" customHeight="1" x14ac:dyDescent="0.2"/>
    <row r="449" ht="14.1" hidden="1" customHeight="1" x14ac:dyDescent="0.2"/>
    <row r="450" ht="14.1" hidden="1" customHeight="1" x14ac:dyDescent="0.2"/>
    <row r="451" ht="14.1" hidden="1" customHeight="1" x14ac:dyDescent="0.2"/>
    <row r="452" ht="14.1" hidden="1" customHeight="1" x14ac:dyDescent="0.2"/>
    <row r="453" ht="14.1" hidden="1" customHeight="1" x14ac:dyDescent="0.2"/>
    <row r="454" ht="14.1" hidden="1" customHeight="1" x14ac:dyDescent="0.2"/>
    <row r="455" ht="14.1" hidden="1" customHeight="1" x14ac:dyDescent="0.2"/>
    <row r="456" ht="14.1" hidden="1" customHeight="1" x14ac:dyDescent="0.2"/>
    <row r="457" ht="14.1" hidden="1" customHeight="1" x14ac:dyDescent="0.2"/>
    <row r="458" ht="14.1" hidden="1" customHeight="1" x14ac:dyDescent="0.2"/>
    <row r="459" ht="14.1" hidden="1" customHeight="1" x14ac:dyDescent="0.2"/>
    <row r="460" ht="14.1" hidden="1" customHeight="1" x14ac:dyDescent="0.2"/>
    <row r="461" ht="14.1" hidden="1" customHeight="1" x14ac:dyDescent="0.2"/>
    <row r="462" ht="14.1" hidden="1" customHeight="1" x14ac:dyDescent="0.2"/>
    <row r="463" ht="14.1" hidden="1" customHeight="1" x14ac:dyDescent="0.2"/>
    <row r="464" ht="14.1" hidden="1" customHeight="1" x14ac:dyDescent="0.2"/>
    <row r="465" ht="14.1" hidden="1" customHeight="1" x14ac:dyDescent="0.2"/>
    <row r="466" ht="14.1" hidden="1" customHeight="1" x14ac:dyDescent="0.2"/>
    <row r="467" ht="14.1" hidden="1" customHeight="1" x14ac:dyDescent="0.2"/>
    <row r="468" ht="14.1" hidden="1" customHeight="1" x14ac:dyDescent="0.2"/>
    <row r="469" ht="14.1" hidden="1" customHeight="1" x14ac:dyDescent="0.2"/>
    <row r="470" ht="14.1" hidden="1" customHeight="1" x14ac:dyDescent="0.2"/>
    <row r="471" ht="14.1" hidden="1" customHeight="1" x14ac:dyDescent="0.2"/>
    <row r="472" ht="14.1" hidden="1" customHeight="1" x14ac:dyDescent="0.2"/>
    <row r="473" ht="14.1" hidden="1" customHeight="1" x14ac:dyDescent="0.2"/>
    <row r="474" ht="14.1" hidden="1" customHeight="1" x14ac:dyDescent="0.2"/>
    <row r="475" ht="14.1" hidden="1" customHeight="1" x14ac:dyDescent="0.2"/>
    <row r="476" ht="14.1" hidden="1" customHeight="1" x14ac:dyDescent="0.2"/>
    <row r="477" ht="14.1" hidden="1" customHeight="1" x14ac:dyDescent="0.2"/>
    <row r="478" ht="14.1" hidden="1" customHeight="1" x14ac:dyDescent="0.2"/>
    <row r="479" ht="14.1" hidden="1" customHeight="1" x14ac:dyDescent="0.2"/>
    <row r="480" ht="14.1" hidden="1" customHeight="1" x14ac:dyDescent="0.2"/>
    <row r="481" ht="14.1" hidden="1" customHeight="1" x14ac:dyDescent="0.2"/>
    <row r="482" ht="14.1" hidden="1" customHeight="1" x14ac:dyDescent="0.2"/>
    <row r="483" ht="14.1" hidden="1" customHeight="1" x14ac:dyDescent="0.2"/>
    <row r="484" ht="14.1" hidden="1" customHeight="1" x14ac:dyDescent="0.2"/>
    <row r="485" ht="14.1" hidden="1" customHeight="1" x14ac:dyDescent="0.2"/>
    <row r="486" ht="14.1" hidden="1" customHeight="1" x14ac:dyDescent="0.2"/>
    <row r="487" ht="14.1" hidden="1" customHeight="1" x14ac:dyDescent="0.2"/>
    <row r="488" ht="14.1" hidden="1" customHeight="1" x14ac:dyDescent="0.2"/>
    <row r="489" ht="14.1" hidden="1" customHeight="1" x14ac:dyDescent="0.2"/>
    <row r="490" ht="14.1" hidden="1" customHeight="1" x14ac:dyDescent="0.2"/>
    <row r="491" ht="14.1" hidden="1" customHeight="1" x14ac:dyDescent="0.2"/>
    <row r="492" ht="14.1" hidden="1" customHeight="1" x14ac:dyDescent="0.2"/>
    <row r="493" ht="14.1" hidden="1" customHeight="1" x14ac:dyDescent="0.2"/>
    <row r="494" ht="14.1" hidden="1" customHeight="1" x14ac:dyDescent="0.2"/>
    <row r="495" ht="14.1" hidden="1" customHeight="1" x14ac:dyDescent="0.2"/>
    <row r="496" ht="14.1" hidden="1" customHeight="1" x14ac:dyDescent="0.2"/>
    <row r="497" ht="14.1" hidden="1" customHeight="1" x14ac:dyDescent="0.2"/>
    <row r="498" ht="14.1" hidden="1" customHeight="1" x14ac:dyDescent="0.2"/>
    <row r="499" ht="14.1" hidden="1" customHeight="1" x14ac:dyDescent="0.2"/>
    <row r="500" ht="14.1" hidden="1" customHeight="1" x14ac:dyDescent="0.2"/>
    <row r="501" ht="14.1" hidden="1" customHeight="1" x14ac:dyDescent="0.2"/>
    <row r="502" ht="14.1" hidden="1" customHeight="1" x14ac:dyDescent="0.2"/>
    <row r="503" ht="14.1" hidden="1" customHeight="1" x14ac:dyDescent="0.2"/>
    <row r="504" ht="14.1" hidden="1" customHeight="1" x14ac:dyDescent="0.2"/>
    <row r="505" ht="14.1" hidden="1" customHeight="1" x14ac:dyDescent="0.2"/>
    <row r="506" ht="14.1" hidden="1" customHeight="1" x14ac:dyDescent="0.2"/>
    <row r="507" ht="14.1" hidden="1" customHeight="1" x14ac:dyDescent="0.2"/>
    <row r="508" ht="14.1" hidden="1" customHeight="1" x14ac:dyDescent="0.2"/>
    <row r="509" ht="14.1" hidden="1" customHeight="1" x14ac:dyDescent="0.2"/>
    <row r="510" ht="14.1" hidden="1" customHeight="1" x14ac:dyDescent="0.2"/>
    <row r="511" ht="14.1" hidden="1" customHeight="1" x14ac:dyDescent="0.2"/>
    <row r="512" ht="14.1" hidden="1" customHeight="1" x14ac:dyDescent="0.2"/>
    <row r="513" ht="14.1" hidden="1" customHeight="1" x14ac:dyDescent="0.2"/>
    <row r="514" ht="14.1" hidden="1" customHeight="1" x14ac:dyDescent="0.2"/>
    <row r="515" ht="14.1" hidden="1" customHeight="1" x14ac:dyDescent="0.2"/>
    <row r="516" ht="14.1" hidden="1" customHeight="1" x14ac:dyDescent="0.2"/>
    <row r="517" ht="14.1" hidden="1" customHeight="1" x14ac:dyDescent="0.2"/>
    <row r="518" ht="14.1" hidden="1" customHeight="1" x14ac:dyDescent="0.2"/>
    <row r="519" ht="14.1" hidden="1" customHeight="1" x14ac:dyDescent="0.2"/>
    <row r="520" ht="14.1" hidden="1" customHeight="1" x14ac:dyDescent="0.2"/>
    <row r="521" ht="14.1" hidden="1" customHeight="1" x14ac:dyDescent="0.2"/>
    <row r="522" ht="14.1" hidden="1" customHeight="1" x14ac:dyDescent="0.2"/>
    <row r="523" ht="14.1" hidden="1" customHeight="1" x14ac:dyDescent="0.2"/>
    <row r="524" ht="14.1" hidden="1" customHeight="1" x14ac:dyDescent="0.2"/>
    <row r="525" ht="14.1" hidden="1" customHeight="1" x14ac:dyDescent="0.2"/>
    <row r="526" ht="14.1" hidden="1" customHeight="1" x14ac:dyDescent="0.2"/>
    <row r="527" ht="14.1" hidden="1" customHeight="1" x14ac:dyDescent="0.2"/>
    <row r="528" ht="14.1" hidden="1" customHeight="1" x14ac:dyDescent="0.2"/>
    <row r="529" ht="14.1" hidden="1" customHeight="1" x14ac:dyDescent="0.2"/>
    <row r="530" ht="14.1" hidden="1" customHeight="1" x14ac:dyDescent="0.2"/>
    <row r="531" ht="14.1" hidden="1" customHeight="1" x14ac:dyDescent="0.2"/>
    <row r="532" ht="14.1" hidden="1" customHeight="1" x14ac:dyDescent="0.2"/>
    <row r="533" ht="14.1" hidden="1" customHeight="1" x14ac:dyDescent="0.2"/>
    <row r="534" ht="14.1" hidden="1" customHeight="1" x14ac:dyDescent="0.2"/>
    <row r="535" ht="14.1" hidden="1" customHeight="1" x14ac:dyDescent="0.2"/>
    <row r="536" ht="14.1" hidden="1" customHeight="1" x14ac:dyDescent="0.2"/>
    <row r="537" ht="14.1" hidden="1" customHeight="1" x14ac:dyDescent="0.2"/>
    <row r="538" ht="14.1" hidden="1" customHeight="1" x14ac:dyDescent="0.2"/>
    <row r="539" ht="14.1" hidden="1" customHeight="1" x14ac:dyDescent="0.2"/>
    <row r="540" ht="14.1" hidden="1" customHeight="1" x14ac:dyDescent="0.2"/>
    <row r="541" ht="14.1" hidden="1" customHeight="1" x14ac:dyDescent="0.2"/>
    <row r="542" ht="14.1" hidden="1" customHeight="1" x14ac:dyDescent="0.2"/>
    <row r="543" ht="14.1" hidden="1" customHeight="1" x14ac:dyDescent="0.2"/>
    <row r="544" ht="14.1" hidden="1" customHeight="1" x14ac:dyDescent="0.2"/>
    <row r="545" ht="14.1" hidden="1" customHeight="1" x14ac:dyDescent="0.2"/>
    <row r="546" ht="14.1" hidden="1" customHeight="1" x14ac:dyDescent="0.2"/>
    <row r="547" ht="14.1" hidden="1" customHeight="1" x14ac:dyDescent="0.2"/>
    <row r="548" ht="14.1" hidden="1" customHeight="1" x14ac:dyDescent="0.2"/>
    <row r="549" ht="14.1" hidden="1" customHeight="1" x14ac:dyDescent="0.2"/>
    <row r="550" ht="14.1" hidden="1" customHeight="1" x14ac:dyDescent="0.2"/>
    <row r="551" ht="14.1" hidden="1" customHeight="1" x14ac:dyDescent="0.2"/>
    <row r="552" ht="14.1" hidden="1" customHeight="1" x14ac:dyDescent="0.2"/>
    <row r="553" ht="14.1" hidden="1" customHeight="1" x14ac:dyDescent="0.2"/>
    <row r="554" ht="14.1" hidden="1" customHeight="1" x14ac:dyDescent="0.2"/>
    <row r="555" ht="14.1" hidden="1" customHeight="1" x14ac:dyDescent="0.2"/>
    <row r="556" ht="14.1" hidden="1" customHeight="1" x14ac:dyDescent="0.2"/>
    <row r="557" ht="14.1" hidden="1" customHeight="1" x14ac:dyDescent="0.2"/>
    <row r="558" ht="14.1" hidden="1" customHeight="1" x14ac:dyDescent="0.2"/>
    <row r="559" ht="14.1" hidden="1" customHeight="1" x14ac:dyDescent="0.2"/>
    <row r="560" ht="14.1" hidden="1" customHeight="1" x14ac:dyDescent="0.2"/>
    <row r="561" ht="14.1" hidden="1" customHeight="1" x14ac:dyDescent="0.2"/>
    <row r="562" ht="14.1" hidden="1" customHeight="1" x14ac:dyDescent="0.2"/>
    <row r="563" ht="14.1" hidden="1" customHeight="1" x14ac:dyDescent="0.2"/>
    <row r="564" ht="14.1" hidden="1" customHeight="1" x14ac:dyDescent="0.2"/>
    <row r="565" ht="14.1" hidden="1" customHeight="1" x14ac:dyDescent="0.2"/>
    <row r="566" ht="14.1" hidden="1" customHeight="1" x14ac:dyDescent="0.2"/>
    <row r="567" ht="14.1" hidden="1" customHeight="1" x14ac:dyDescent="0.2"/>
    <row r="568" ht="14.1" hidden="1" customHeight="1" x14ac:dyDescent="0.2"/>
    <row r="569" ht="14.1" hidden="1" customHeight="1" x14ac:dyDescent="0.2"/>
    <row r="570" ht="14.1" hidden="1" customHeight="1" x14ac:dyDescent="0.2"/>
    <row r="571" ht="14.1" hidden="1" customHeight="1" x14ac:dyDescent="0.2"/>
    <row r="572" ht="14.1" hidden="1" customHeight="1" x14ac:dyDescent="0.2"/>
    <row r="573" ht="14.1" hidden="1" customHeight="1" x14ac:dyDescent="0.2"/>
    <row r="574" ht="14.1" hidden="1" customHeight="1" x14ac:dyDescent="0.2"/>
    <row r="575" ht="14.1" hidden="1" customHeight="1" x14ac:dyDescent="0.2"/>
    <row r="576" ht="14.1" hidden="1" customHeight="1" x14ac:dyDescent="0.2"/>
    <row r="577" ht="14.1" hidden="1" customHeight="1" x14ac:dyDescent="0.2"/>
    <row r="578" ht="14.1" hidden="1" customHeight="1" x14ac:dyDescent="0.2"/>
    <row r="579" ht="14.1" hidden="1" customHeight="1" x14ac:dyDescent="0.2"/>
    <row r="580" ht="14.1" hidden="1" customHeight="1" x14ac:dyDescent="0.2"/>
    <row r="581" ht="14.1" hidden="1" customHeight="1" x14ac:dyDescent="0.2"/>
    <row r="582" ht="14.1" hidden="1" customHeight="1" x14ac:dyDescent="0.2"/>
    <row r="583" ht="14.1" hidden="1" customHeight="1" x14ac:dyDescent="0.2"/>
    <row r="584" ht="14.1" hidden="1" customHeight="1" x14ac:dyDescent="0.2"/>
    <row r="585" ht="14.1" hidden="1" customHeight="1" x14ac:dyDescent="0.2"/>
    <row r="586" ht="14.1" hidden="1" customHeight="1" x14ac:dyDescent="0.2"/>
    <row r="587" ht="14.1" hidden="1" customHeight="1" x14ac:dyDescent="0.2"/>
    <row r="588" ht="14.1" hidden="1" customHeight="1" x14ac:dyDescent="0.2"/>
    <row r="589" ht="14.1" hidden="1" customHeight="1" x14ac:dyDescent="0.2"/>
    <row r="590" ht="14.1" hidden="1" customHeight="1" x14ac:dyDescent="0.2"/>
    <row r="591" ht="14.1" hidden="1" customHeight="1" x14ac:dyDescent="0.2"/>
    <row r="592" ht="14.1" hidden="1" customHeight="1" x14ac:dyDescent="0.2"/>
    <row r="593" ht="14.1" hidden="1" customHeight="1" x14ac:dyDescent="0.2"/>
    <row r="594" ht="14.1" hidden="1" customHeight="1" x14ac:dyDescent="0.2"/>
    <row r="595" ht="14.1" hidden="1" customHeight="1" x14ac:dyDescent="0.2"/>
    <row r="596" ht="14.1" hidden="1" customHeight="1" x14ac:dyDescent="0.2"/>
    <row r="597" ht="14.1" hidden="1" customHeight="1" x14ac:dyDescent="0.2"/>
    <row r="598" ht="14.1" hidden="1" customHeight="1" x14ac:dyDescent="0.2"/>
    <row r="599" ht="14.1" hidden="1" customHeight="1" x14ac:dyDescent="0.2"/>
    <row r="600" ht="14.1" hidden="1" customHeight="1" x14ac:dyDescent="0.2"/>
    <row r="601" ht="14.1" hidden="1" customHeight="1" x14ac:dyDescent="0.2"/>
    <row r="602" ht="14.1" hidden="1" customHeight="1" x14ac:dyDescent="0.2"/>
    <row r="603" ht="14.1" hidden="1" customHeight="1" x14ac:dyDescent="0.2"/>
    <row r="604" ht="14.1" hidden="1" customHeight="1" x14ac:dyDescent="0.2"/>
    <row r="605" ht="14.1" hidden="1" customHeight="1" x14ac:dyDescent="0.2"/>
    <row r="606" ht="14.1" hidden="1" customHeight="1" x14ac:dyDescent="0.2"/>
    <row r="607" ht="14.1" hidden="1" customHeight="1" x14ac:dyDescent="0.2"/>
    <row r="608" ht="14.1" hidden="1" customHeight="1" x14ac:dyDescent="0.2"/>
    <row r="609" ht="14.1" hidden="1" customHeight="1" x14ac:dyDescent="0.2"/>
    <row r="610" ht="14.1" hidden="1" customHeight="1" x14ac:dyDescent="0.2"/>
    <row r="611" ht="14.1" hidden="1" customHeight="1" x14ac:dyDescent="0.2"/>
    <row r="612" ht="14.1" hidden="1" customHeight="1" x14ac:dyDescent="0.2"/>
    <row r="613" ht="14.1" hidden="1" customHeight="1" x14ac:dyDescent="0.2"/>
    <row r="614" ht="14.1" hidden="1" customHeight="1" x14ac:dyDescent="0.2"/>
    <row r="615" ht="14.1" hidden="1" customHeight="1" x14ac:dyDescent="0.2"/>
    <row r="616" ht="14.1" hidden="1" customHeight="1" x14ac:dyDescent="0.2"/>
    <row r="617" ht="14.1" hidden="1" customHeight="1" x14ac:dyDescent="0.2"/>
    <row r="618" ht="14.1" hidden="1" customHeight="1" x14ac:dyDescent="0.2"/>
    <row r="619" ht="14.1" hidden="1" customHeight="1" x14ac:dyDescent="0.2"/>
    <row r="620" ht="14.1" hidden="1" customHeight="1" x14ac:dyDescent="0.2"/>
    <row r="621" ht="14.1" hidden="1" customHeight="1" x14ac:dyDescent="0.2"/>
    <row r="622" ht="14.1" hidden="1" customHeight="1" x14ac:dyDescent="0.2"/>
    <row r="623" ht="14.1" hidden="1" customHeight="1" x14ac:dyDescent="0.2"/>
    <row r="624" ht="14.1" hidden="1" customHeight="1" x14ac:dyDescent="0.2"/>
    <row r="625" ht="14.1" hidden="1" customHeight="1" x14ac:dyDescent="0.2"/>
    <row r="626" ht="14.1" hidden="1" customHeight="1" x14ac:dyDescent="0.2"/>
    <row r="627" ht="14.1" hidden="1" customHeight="1" x14ac:dyDescent="0.2"/>
    <row r="628" ht="14.1" hidden="1" customHeight="1" x14ac:dyDescent="0.2"/>
    <row r="629" ht="14.1" hidden="1" customHeight="1" x14ac:dyDescent="0.2"/>
    <row r="630" ht="14.1" hidden="1" customHeight="1" x14ac:dyDescent="0.2"/>
    <row r="631" ht="14.1" hidden="1" customHeight="1" x14ac:dyDescent="0.2"/>
    <row r="632" ht="14.1" hidden="1" customHeight="1" x14ac:dyDescent="0.2"/>
    <row r="633" ht="14.1" hidden="1" customHeight="1" x14ac:dyDescent="0.2"/>
    <row r="634" ht="14.1" hidden="1" customHeight="1" x14ac:dyDescent="0.2"/>
    <row r="635" ht="14.1" hidden="1" customHeight="1" x14ac:dyDescent="0.2"/>
    <row r="636" ht="14.1" hidden="1" customHeight="1" x14ac:dyDescent="0.2"/>
    <row r="637" ht="14.1" hidden="1" customHeight="1" x14ac:dyDescent="0.2"/>
    <row r="638" ht="14.1" hidden="1" customHeight="1" x14ac:dyDescent="0.2"/>
    <row r="639" ht="14.1" hidden="1" customHeight="1" x14ac:dyDescent="0.2"/>
    <row r="640" ht="14.1" hidden="1" customHeight="1" x14ac:dyDescent="0.2"/>
    <row r="641" ht="14.1" hidden="1" customHeight="1" x14ac:dyDescent="0.2"/>
    <row r="642" ht="14.1" hidden="1" customHeight="1" x14ac:dyDescent="0.2"/>
    <row r="643" ht="14.1" hidden="1" customHeight="1" x14ac:dyDescent="0.2"/>
    <row r="644" ht="14.1" hidden="1" customHeight="1" x14ac:dyDescent="0.2"/>
    <row r="645" ht="14.1" hidden="1" customHeight="1" x14ac:dyDescent="0.2"/>
    <row r="646" ht="14.1" hidden="1" customHeight="1" x14ac:dyDescent="0.2"/>
    <row r="647" ht="14.1" hidden="1" customHeight="1" x14ac:dyDescent="0.2"/>
    <row r="648" ht="14.1" hidden="1" customHeight="1" x14ac:dyDescent="0.2"/>
    <row r="649" ht="14.1" hidden="1" customHeight="1" x14ac:dyDescent="0.2"/>
    <row r="650" ht="14.1" hidden="1" customHeight="1" x14ac:dyDescent="0.2"/>
    <row r="651" ht="14.1" hidden="1" customHeight="1" x14ac:dyDescent="0.2"/>
    <row r="652" ht="14.1" hidden="1" customHeight="1" x14ac:dyDescent="0.2"/>
    <row r="653" ht="14.1" hidden="1" customHeight="1" x14ac:dyDescent="0.2"/>
    <row r="654" ht="14.1" hidden="1" customHeight="1" x14ac:dyDescent="0.2"/>
    <row r="655" ht="14.1" hidden="1" customHeight="1" x14ac:dyDescent="0.2"/>
    <row r="656" ht="14.1" hidden="1" customHeight="1" x14ac:dyDescent="0.2"/>
    <row r="657" ht="14.1" hidden="1" customHeight="1" x14ac:dyDescent="0.2"/>
    <row r="658" ht="14.1" hidden="1" customHeight="1" x14ac:dyDescent="0.2"/>
    <row r="659" ht="14.1" hidden="1" customHeight="1" x14ac:dyDescent="0.2"/>
    <row r="660" ht="14.1" hidden="1" customHeight="1" x14ac:dyDescent="0.2"/>
    <row r="661" ht="14.1" hidden="1" customHeight="1" x14ac:dyDescent="0.2"/>
    <row r="662" ht="14.1" hidden="1" customHeight="1" x14ac:dyDescent="0.2"/>
    <row r="663" ht="14.1" hidden="1" customHeight="1" x14ac:dyDescent="0.2"/>
    <row r="664" ht="14.1" hidden="1" customHeight="1" x14ac:dyDescent="0.2"/>
    <row r="665" ht="14.1" hidden="1" customHeight="1" x14ac:dyDescent="0.2"/>
    <row r="666" ht="14.1" hidden="1" customHeight="1" x14ac:dyDescent="0.2"/>
    <row r="667" ht="14.1" hidden="1" customHeight="1" x14ac:dyDescent="0.2"/>
    <row r="668" ht="14.1" hidden="1" customHeight="1" x14ac:dyDescent="0.2"/>
    <row r="669" ht="14.1" hidden="1" customHeight="1" x14ac:dyDescent="0.2"/>
    <row r="670" ht="14.1" hidden="1" customHeight="1" x14ac:dyDescent="0.2"/>
    <row r="671" ht="14.1" hidden="1" customHeight="1" x14ac:dyDescent="0.2"/>
    <row r="672" ht="14.1" hidden="1" customHeight="1" x14ac:dyDescent="0.2"/>
    <row r="673" ht="14.1" hidden="1" customHeight="1" x14ac:dyDescent="0.2"/>
    <row r="674" ht="14.1" hidden="1" customHeight="1" x14ac:dyDescent="0.2"/>
    <row r="675" ht="14.1" hidden="1" customHeight="1" x14ac:dyDescent="0.2"/>
    <row r="676" ht="14.1" hidden="1" customHeight="1" x14ac:dyDescent="0.2"/>
    <row r="677" ht="14.1" hidden="1" customHeight="1" x14ac:dyDescent="0.2"/>
    <row r="678" ht="14.1" hidden="1" customHeight="1" x14ac:dyDescent="0.2"/>
    <row r="679" ht="14.1" hidden="1" customHeight="1" x14ac:dyDescent="0.2"/>
    <row r="680" ht="14.1" hidden="1" customHeight="1" x14ac:dyDescent="0.2"/>
    <row r="681" ht="14.1" hidden="1" customHeight="1" x14ac:dyDescent="0.2"/>
    <row r="682" ht="14.1" hidden="1" customHeight="1" x14ac:dyDescent="0.2"/>
    <row r="683" ht="14.1" hidden="1" customHeight="1" x14ac:dyDescent="0.2"/>
    <row r="684" ht="14.1" hidden="1" customHeight="1" x14ac:dyDescent="0.2"/>
    <row r="685" ht="14.1" hidden="1" customHeight="1" x14ac:dyDescent="0.2"/>
    <row r="686" ht="14.1" hidden="1" customHeight="1" x14ac:dyDescent="0.2"/>
    <row r="687" ht="14.1" hidden="1" customHeight="1" x14ac:dyDescent="0.2"/>
    <row r="688" ht="14.1" hidden="1" customHeight="1" x14ac:dyDescent="0.2"/>
    <row r="689" ht="14.1" hidden="1" customHeight="1" x14ac:dyDescent="0.2"/>
    <row r="690" ht="14.1" hidden="1" customHeight="1" x14ac:dyDescent="0.2"/>
    <row r="691" ht="14.1" hidden="1" customHeight="1" x14ac:dyDescent="0.2"/>
    <row r="692" ht="14.1" hidden="1" customHeight="1" x14ac:dyDescent="0.2"/>
    <row r="693" ht="14.1" hidden="1" customHeight="1" x14ac:dyDescent="0.2"/>
    <row r="694" ht="14.1" hidden="1" customHeight="1" x14ac:dyDescent="0.2"/>
    <row r="695" ht="14.1" hidden="1" customHeight="1" x14ac:dyDescent="0.2"/>
    <row r="696" ht="14.1" hidden="1" customHeight="1" x14ac:dyDescent="0.2"/>
    <row r="697" ht="14.1" hidden="1" customHeight="1" x14ac:dyDescent="0.2"/>
    <row r="698" ht="14.1" hidden="1" customHeight="1" x14ac:dyDescent="0.2"/>
    <row r="699" ht="14.1" hidden="1" customHeight="1" x14ac:dyDescent="0.2"/>
    <row r="700" ht="14.1" hidden="1" customHeight="1" x14ac:dyDescent="0.2"/>
    <row r="701" ht="14.1" hidden="1" customHeight="1" x14ac:dyDescent="0.2"/>
    <row r="702" ht="14.1" hidden="1" customHeight="1" x14ac:dyDescent="0.2"/>
    <row r="703" ht="14.1" hidden="1" customHeight="1" x14ac:dyDescent="0.2"/>
    <row r="704" ht="14.1" hidden="1" customHeight="1" x14ac:dyDescent="0.2"/>
    <row r="705" ht="14.1" hidden="1" customHeight="1" x14ac:dyDescent="0.2"/>
    <row r="706" ht="14.1" hidden="1" customHeight="1" x14ac:dyDescent="0.2"/>
    <row r="707" ht="14.1" hidden="1" customHeight="1" x14ac:dyDescent="0.2"/>
    <row r="708" ht="14.1" hidden="1" customHeight="1" x14ac:dyDescent="0.2"/>
    <row r="709" ht="14.1" hidden="1" customHeight="1" x14ac:dyDescent="0.2"/>
    <row r="710" ht="14.1" hidden="1" customHeight="1" x14ac:dyDescent="0.2"/>
    <row r="711" ht="14.1" hidden="1" customHeight="1" x14ac:dyDescent="0.2"/>
    <row r="712" ht="14.1" hidden="1" customHeight="1" x14ac:dyDescent="0.2"/>
    <row r="713" ht="14.1" hidden="1" customHeight="1" x14ac:dyDescent="0.2"/>
    <row r="714" ht="14.1" hidden="1" customHeight="1" x14ac:dyDescent="0.2"/>
    <row r="715" ht="14.1" hidden="1" customHeight="1" x14ac:dyDescent="0.2"/>
    <row r="716" ht="14.1" hidden="1" customHeight="1" x14ac:dyDescent="0.2"/>
    <row r="717" ht="14.1" hidden="1" customHeight="1" x14ac:dyDescent="0.2"/>
    <row r="718" ht="14.1" hidden="1" customHeight="1" x14ac:dyDescent="0.2"/>
    <row r="719" ht="14.1" hidden="1" customHeight="1" x14ac:dyDescent="0.2"/>
    <row r="720" ht="14.1" hidden="1" customHeight="1" x14ac:dyDescent="0.2"/>
    <row r="721" ht="14.1" hidden="1" customHeight="1" x14ac:dyDescent="0.2"/>
    <row r="722" ht="14.1" hidden="1" customHeight="1" x14ac:dyDescent="0.2"/>
    <row r="723" ht="14.1" hidden="1" customHeight="1" x14ac:dyDescent="0.2"/>
    <row r="724" ht="14.1" hidden="1" customHeight="1" x14ac:dyDescent="0.2"/>
    <row r="725" ht="14.1" hidden="1" customHeight="1" x14ac:dyDescent="0.2"/>
    <row r="726" ht="14.1" hidden="1" customHeight="1" x14ac:dyDescent="0.2"/>
    <row r="727" ht="14.1" hidden="1" customHeight="1" x14ac:dyDescent="0.2"/>
    <row r="728" ht="14.1" hidden="1" customHeight="1" x14ac:dyDescent="0.2"/>
    <row r="729" ht="14.1" hidden="1" customHeight="1" x14ac:dyDescent="0.2"/>
    <row r="730" ht="14.1" hidden="1" customHeight="1" x14ac:dyDescent="0.2"/>
    <row r="731" ht="14.1" hidden="1" customHeight="1" x14ac:dyDescent="0.2"/>
    <row r="732" ht="14.1" hidden="1" customHeight="1" x14ac:dyDescent="0.2"/>
    <row r="733" ht="14.1" hidden="1" customHeight="1" x14ac:dyDescent="0.2"/>
    <row r="734" ht="14.1" hidden="1" customHeight="1" x14ac:dyDescent="0.2"/>
    <row r="735" ht="14.1" hidden="1" customHeight="1" x14ac:dyDescent="0.2"/>
    <row r="736" ht="14.1" hidden="1" customHeight="1" x14ac:dyDescent="0.2"/>
    <row r="737" ht="14.1" hidden="1" customHeight="1" x14ac:dyDescent="0.2"/>
    <row r="738" ht="14.1" hidden="1" customHeight="1" x14ac:dyDescent="0.2"/>
    <row r="739" ht="14.1" hidden="1" customHeight="1" x14ac:dyDescent="0.2"/>
    <row r="740" ht="14.1" hidden="1" customHeight="1" x14ac:dyDescent="0.2"/>
    <row r="741" ht="14.1" hidden="1" customHeight="1" x14ac:dyDescent="0.2"/>
    <row r="742" ht="14.1" hidden="1" customHeight="1" x14ac:dyDescent="0.2"/>
    <row r="743" ht="14.1" hidden="1" customHeight="1" x14ac:dyDescent="0.2"/>
    <row r="744" ht="14.1" hidden="1" customHeight="1" x14ac:dyDescent="0.2"/>
    <row r="745" ht="14.1" hidden="1" customHeight="1" x14ac:dyDescent="0.2"/>
    <row r="746" ht="14.1" hidden="1" customHeight="1" x14ac:dyDescent="0.2"/>
    <row r="747" ht="14.1" hidden="1" customHeight="1" x14ac:dyDescent="0.2"/>
    <row r="748" ht="14.1" hidden="1" customHeight="1" x14ac:dyDescent="0.2"/>
    <row r="749" ht="14.1" hidden="1" customHeight="1" x14ac:dyDescent="0.2"/>
    <row r="750" ht="14.1" hidden="1" customHeight="1" x14ac:dyDescent="0.2"/>
    <row r="751" ht="14.1" hidden="1" customHeight="1" x14ac:dyDescent="0.2"/>
    <row r="752" ht="14.1" hidden="1" customHeight="1" x14ac:dyDescent="0.2"/>
    <row r="753" ht="14.1" hidden="1" customHeight="1" x14ac:dyDescent="0.2"/>
    <row r="754" ht="14.1" hidden="1" customHeight="1" x14ac:dyDescent="0.2"/>
    <row r="755" ht="14.1" hidden="1" customHeight="1" x14ac:dyDescent="0.2"/>
    <row r="756" ht="14.1" hidden="1" customHeight="1" x14ac:dyDescent="0.2"/>
    <row r="757" ht="14.1" hidden="1" customHeight="1" x14ac:dyDescent="0.2"/>
    <row r="758" ht="14.1" hidden="1" customHeight="1" x14ac:dyDescent="0.2"/>
    <row r="759" ht="14.1" hidden="1" customHeight="1" x14ac:dyDescent="0.2"/>
    <row r="760" ht="14.1" hidden="1" customHeight="1" x14ac:dyDescent="0.2"/>
    <row r="761" ht="14.1" hidden="1" customHeight="1" x14ac:dyDescent="0.2"/>
    <row r="762" ht="14.1" hidden="1" customHeight="1" x14ac:dyDescent="0.2"/>
    <row r="763" ht="14.1" hidden="1" customHeight="1" x14ac:dyDescent="0.2"/>
    <row r="764" ht="14.1" hidden="1" customHeight="1" x14ac:dyDescent="0.2"/>
    <row r="765" ht="14.1" hidden="1" customHeight="1" x14ac:dyDescent="0.2"/>
    <row r="766" ht="14.1" hidden="1" customHeight="1" x14ac:dyDescent="0.2"/>
    <row r="767" ht="14.1" hidden="1" customHeight="1" x14ac:dyDescent="0.2"/>
    <row r="768" ht="14.1" hidden="1" customHeight="1" x14ac:dyDescent="0.2"/>
    <row r="769" ht="14.1" hidden="1" customHeight="1" x14ac:dyDescent="0.2"/>
    <row r="770" ht="14.1" hidden="1" customHeight="1" x14ac:dyDescent="0.2"/>
    <row r="771" ht="14.1" hidden="1" customHeight="1" x14ac:dyDescent="0.2"/>
    <row r="772" ht="14.1" hidden="1" customHeight="1" x14ac:dyDescent="0.2"/>
    <row r="773" ht="14.1" hidden="1" customHeight="1" x14ac:dyDescent="0.2"/>
    <row r="774" ht="14.1" hidden="1" customHeight="1" x14ac:dyDescent="0.2"/>
    <row r="775" ht="14.1" hidden="1" customHeight="1" x14ac:dyDescent="0.2"/>
    <row r="776" ht="14.1" hidden="1" customHeight="1" x14ac:dyDescent="0.2"/>
    <row r="777" ht="14.1" hidden="1" customHeight="1" x14ac:dyDescent="0.2"/>
    <row r="778" ht="14.1" hidden="1" customHeight="1" x14ac:dyDescent="0.2"/>
    <row r="779" ht="14.1" hidden="1" customHeight="1" x14ac:dyDescent="0.2"/>
    <row r="780" ht="14.1" hidden="1" customHeight="1" x14ac:dyDescent="0.2"/>
    <row r="781" ht="14.1" hidden="1" customHeight="1" x14ac:dyDescent="0.2"/>
    <row r="782" ht="14.1" hidden="1" customHeight="1" x14ac:dyDescent="0.2"/>
    <row r="783" ht="14.1" hidden="1" customHeight="1" x14ac:dyDescent="0.2"/>
    <row r="784" ht="14.1" hidden="1" customHeight="1" x14ac:dyDescent="0.2"/>
    <row r="785" ht="14.1" hidden="1" customHeight="1" x14ac:dyDescent="0.2"/>
    <row r="786" ht="14.1" hidden="1" customHeight="1" x14ac:dyDescent="0.2"/>
    <row r="787" ht="14.1" hidden="1" customHeight="1" x14ac:dyDescent="0.2"/>
    <row r="788" ht="14.1" hidden="1" customHeight="1" x14ac:dyDescent="0.2"/>
    <row r="789" ht="14.1" hidden="1" customHeight="1" x14ac:dyDescent="0.2"/>
    <row r="790" ht="14.1" hidden="1" customHeight="1" x14ac:dyDescent="0.2"/>
    <row r="791" ht="14.1" hidden="1" customHeight="1" x14ac:dyDescent="0.2"/>
    <row r="792" ht="14.1" hidden="1" customHeight="1" x14ac:dyDescent="0.2"/>
    <row r="793" ht="14.1" hidden="1" customHeight="1" x14ac:dyDescent="0.2"/>
    <row r="794" ht="14.1" hidden="1" customHeight="1" x14ac:dyDescent="0.2"/>
    <row r="795" ht="14.1" hidden="1" customHeight="1" x14ac:dyDescent="0.2"/>
    <row r="796" ht="14.1" hidden="1" customHeight="1" x14ac:dyDescent="0.2"/>
    <row r="797" ht="14.1" hidden="1" customHeight="1" x14ac:dyDescent="0.2"/>
    <row r="798" ht="14.1" hidden="1" customHeight="1" x14ac:dyDescent="0.2"/>
    <row r="799" ht="14.1" hidden="1" customHeight="1" x14ac:dyDescent="0.2"/>
    <row r="800" ht="14.1" hidden="1" customHeight="1" x14ac:dyDescent="0.2"/>
    <row r="801" ht="14.1" hidden="1" customHeight="1" x14ac:dyDescent="0.2"/>
    <row r="802" ht="14.1" hidden="1" customHeight="1" x14ac:dyDescent="0.2"/>
    <row r="803" ht="14.1" hidden="1" customHeight="1" x14ac:dyDescent="0.2"/>
    <row r="804" ht="14.1" hidden="1" customHeight="1" x14ac:dyDescent="0.2"/>
    <row r="805" ht="14.1" hidden="1" customHeight="1" x14ac:dyDescent="0.2"/>
    <row r="806" ht="14.1" hidden="1" customHeight="1" x14ac:dyDescent="0.2"/>
    <row r="807" ht="14.1" hidden="1" customHeight="1" x14ac:dyDescent="0.2"/>
    <row r="808" ht="14.1" hidden="1" customHeight="1" x14ac:dyDescent="0.2"/>
    <row r="809" ht="14.1" hidden="1" customHeight="1" x14ac:dyDescent="0.2"/>
    <row r="810" ht="14.1" hidden="1" customHeight="1" x14ac:dyDescent="0.2"/>
    <row r="811" ht="14.1" hidden="1" customHeight="1" x14ac:dyDescent="0.2"/>
    <row r="812" ht="14.1" hidden="1" customHeight="1" x14ac:dyDescent="0.2"/>
    <row r="813" ht="14.1" hidden="1" customHeight="1" x14ac:dyDescent="0.2"/>
    <row r="814" ht="14.1" hidden="1" customHeight="1" x14ac:dyDescent="0.2"/>
    <row r="815" ht="14.1" hidden="1" customHeight="1" x14ac:dyDescent="0.2"/>
    <row r="816" ht="14.1" hidden="1" customHeight="1" x14ac:dyDescent="0.2"/>
    <row r="817" ht="14.1" hidden="1" customHeight="1" x14ac:dyDescent="0.2"/>
    <row r="818" ht="14.1" hidden="1" customHeight="1" x14ac:dyDescent="0.2"/>
    <row r="819" ht="14.1" hidden="1" customHeight="1" x14ac:dyDescent="0.2"/>
    <row r="820" ht="14.1" hidden="1" customHeight="1" x14ac:dyDescent="0.2"/>
    <row r="821" ht="14.1" hidden="1" customHeight="1" x14ac:dyDescent="0.2"/>
    <row r="822" ht="14.1" hidden="1" customHeight="1" x14ac:dyDescent="0.2"/>
    <row r="823" ht="14.1" hidden="1" customHeight="1" x14ac:dyDescent="0.2"/>
    <row r="824" ht="14.1" hidden="1" customHeight="1" x14ac:dyDescent="0.2"/>
    <row r="825" ht="14.1" hidden="1" customHeight="1" x14ac:dyDescent="0.2"/>
    <row r="826" ht="14.1" hidden="1" customHeight="1" x14ac:dyDescent="0.2"/>
    <row r="827" ht="14.1" hidden="1" customHeight="1" x14ac:dyDescent="0.2"/>
    <row r="828" ht="14.1" hidden="1" customHeight="1" x14ac:dyDescent="0.2"/>
    <row r="829" ht="14.1" hidden="1" customHeight="1" x14ac:dyDescent="0.2"/>
    <row r="830" ht="14.1" hidden="1" customHeight="1" x14ac:dyDescent="0.2"/>
    <row r="831" ht="14.1" hidden="1" customHeight="1" x14ac:dyDescent="0.2"/>
    <row r="832" ht="14.1" hidden="1" customHeight="1" x14ac:dyDescent="0.2"/>
    <row r="833" ht="14.1" hidden="1" customHeight="1" x14ac:dyDescent="0.2"/>
    <row r="834" ht="14.1" hidden="1" customHeight="1" x14ac:dyDescent="0.2"/>
    <row r="835" ht="14.1" hidden="1" customHeight="1" x14ac:dyDescent="0.2"/>
    <row r="836" ht="14.1" hidden="1" customHeight="1" x14ac:dyDescent="0.2"/>
    <row r="837" ht="14.1" hidden="1" customHeight="1" x14ac:dyDescent="0.2"/>
    <row r="838" ht="14.1" hidden="1" customHeight="1" x14ac:dyDescent="0.2"/>
    <row r="839" ht="14.1" hidden="1" customHeight="1" x14ac:dyDescent="0.2"/>
    <row r="840" ht="14.1" hidden="1" customHeight="1" x14ac:dyDescent="0.2"/>
    <row r="841" ht="14.1" hidden="1" customHeight="1" x14ac:dyDescent="0.2"/>
    <row r="842" ht="14.1" hidden="1" customHeight="1" x14ac:dyDescent="0.2"/>
    <row r="843" ht="14.1" hidden="1" customHeight="1" x14ac:dyDescent="0.2"/>
    <row r="844" ht="14.1" hidden="1" customHeight="1" x14ac:dyDescent="0.2"/>
    <row r="845" ht="14.1" hidden="1" customHeight="1" x14ac:dyDescent="0.2"/>
    <row r="846" ht="14.1" hidden="1" customHeight="1" x14ac:dyDescent="0.2"/>
    <row r="847" ht="14.1" hidden="1" customHeight="1" x14ac:dyDescent="0.2"/>
    <row r="848" ht="14.1" hidden="1" customHeight="1" x14ac:dyDescent="0.2"/>
    <row r="849" ht="14.1" hidden="1" customHeight="1" x14ac:dyDescent="0.2"/>
    <row r="850" ht="14.1" hidden="1" customHeight="1" x14ac:dyDescent="0.2"/>
    <row r="851" ht="14.1" hidden="1" customHeight="1" x14ac:dyDescent="0.2"/>
    <row r="852" ht="14.1" hidden="1" customHeight="1" x14ac:dyDescent="0.2"/>
    <row r="853" ht="14.1" hidden="1" customHeight="1" x14ac:dyDescent="0.2"/>
    <row r="854" ht="14.1" hidden="1" customHeight="1" x14ac:dyDescent="0.2"/>
    <row r="855" ht="14.1" hidden="1" customHeight="1" x14ac:dyDescent="0.2"/>
    <row r="856" ht="14.1" hidden="1" customHeight="1" x14ac:dyDescent="0.2"/>
    <row r="857" ht="14.1" hidden="1" customHeight="1" x14ac:dyDescent="0.2"/>
    <row r="858" ht="14.1" hidden="1" customHeight="1" x14ac:dyDescent="0.2"/>
    <row r="859" ht="14.1" hidden="1" customHeight="1" x14ac:dyDescent="0.2"/>
    <row r="860" ht="14.1" hidden="1" customHeight="1" x14ac:dyDescent="0.2"/>
    <row r="861" ht="14.1" hidden="1" customHeight="1" x14ac:dyDescent="0.2"/>
    <row r="862" ht="14.1" hidden="1" customHeight="1" x14ac:dyDescent="0.2"/>
    <row r="863" ht="14.1" hidden="1" customHeight="1" x14ac:dyDescent="0.2"/>
    <row r="864" ht="14.1" hidden="1" customHeight="1" x14ac:dyDescent="0.2"/>
    <row r="865" ht="14.1" hidden="1" customHeight="1" x14ac:dyDescent="0.2"/>
    <row r="866" ht="14.1" hidden="1" customHeight="1" x14ac:dyDescent="0.2"/>
    <row r="867" ht="14.1" hidden="1" customHeight="1" x14ac:dyDescent="0.2"/>
    <row r="868" ht="14.1" hidden="1" customHeight="1" x14ac:dyDescent="0.2"/>
    <row r="869" ht="14.1" hidden="1" customHeight="1" x14ac:dyDescent="0.2"/>
    <row r="870" ht="14.1" hidden="1" customHeight="1" x14ac:dyDescent="0.2"/>
    <row r="871" ht="14.1" hidden="1" customHeight="1" x14ac:dyDescent="0.2"/>
    <row r="872" ht="14.1" hidden="1" customHeight="1" x14ac:dyDescent="0.2"/>
    <row r="873" ht="14.1" hidden="1" customHeight="1" x14ac:dyDescent="0.2"/>
    <row r="874" ht="14.1" hidden="1" customHeight="1" x14ac:dyDescent="0.2"/>
    <row r="875" ht="14.1" hidden="1" customHeight="1" x14ac:dyDescent="0.2"/>
    <row r="876" ht="14.1" hidden="1" customHeight="1" x14ac:dyDescent="0.2"/>
    <row r="877" ht="14.1" hidden="1" customHeight="1" x14ac:dyDescent="0.2"/>
    <row r="878" ht="14.1" hidden="1" customHeight="1" x14ac:dyDescent="0.2"/>
    <row r="879" ht="14.1" hidden="1" customHeight="1" x14ac:dyDescent="0.2"/>
    <row r="880" ht="14.1" hidden="1" customHeight="1" x14ac:dyDescent="0.2"/>
    <row r="881" ht="14.1" hidden="1" customHeight="1" x14ac:dyDescent="0.2"/>
    <row r="882" ht="14.1" hidden="1" customHeight="1" x14ac:dyDescent="0.2"/>
    <row r="883" ht="14.1" hidden="1" customHeight="1" x14ac:dyDescent="0.2"/>
    <row r="884" ht="14.1" hidden="1" customHeight="1" x14ac:dyDescent="0.2"/>
    <row r="885" ht="14.1" hidden="1" customHeight="1" x14ac:dyDescent="0.2"/>
    <row r="886" ht="14.1" hidden="1" customHeight="1" x14ac:dyDescent="0.2"/>
    <row r="887" ht="14.1" hidden="1" customHeight="1" x14ac:dyDescent="0.2"/>
    <row r="888" ht="14.1" hidden="1" customHeight="1" x14ac:dyDescent="0.2"/>
    <row r="889" ht="14.1" hidden="1" customHeight="1" x14ac:dyDescent="0.2"/>
    <row r="890" ht="14.1" hidden="1" customHeight="1" x14ac:dyDescent="0.2"/>
    <row r="891" ht="14.1" hidden="1" customHeight="1" x14ac:dyDescent="0.2"/>
    <row r="892" ht="14.1" hidden="1" customHeight="1" x14ac:dyDescent="0.2"/>
    <row r="893" ht="14.1" hidden="1" customHeight="1" x14ac:dyDescent="0.2"/>
    <row r="894" ht="14.1" hidden="1" customHeight="1" x14ac:dyDescent="0.2"/>
    <row r="895" ht="14.1" hidden="1" customHeight="1" x14ac:dyDescent="0.2"/>
    <row r="896" ht="14.1" hidden="1" customHeight="1" x14ac:dyDescent="0.2"/>
    <row r="897" ht="14.1" hidden="1" customHeight="1" x14ac:dyDescent="0.2"/>
    <row r="898" ht="14.1" hidden="1" customHeight="1" x14ac:dyDescent="0.2"/>
    <row r="899" ht="14.1" hidden="1" customHeight="1" x14ac:dyDescent="0.2"/>
    <row r="900" ht="14.1" hidden="1" customHeight="1" x14ac:dyDescent="0.2"/>
    <row r="901" ht="14.1" hidden="1" customHeight="1" x14ac:dyDescent="0.2"/>
    <row r="902" ht="14.1" hidden="1" customHeight="1" x14ac:dyDescent="0.2"/>
    <row r="903" ht="14.1" hidden="1" customHeight="1" x14ac:dyDescent="0.2"/>
    <row r="904" ht="14.1" hidden="1" customHeight="1" x14ac:dyDescent="0.2"/>
    <row r="905" ht="14.1" hidden="1" customHeight="1" x14ac:dyDescent="0.2"/>
    <row r="906" ht="14.1" hidden="1" customHeight="1" x14ac:dyDescent="0.2"/>
    <row r="907" ht="14.1" hidden="1" customHeight="1" x14ac:dyDescent="0.2"/>
    <row r="908" ht="14.1" hidden="1" customHeight="1" x14ac:dyDescent="0.2"/>
    <row r="909" ht="14.1" hidden="1" customHeight="1" x14ac:dyDescent="0.2"/>
    <row r="910" ht="14.1" hidden="1" customHeight="1" x14ac:dyDescent="0.2"/>
    <row r="911" ht="14.1" hidden="1" customHeight="1" x14ac:dyDescent="0.2"/>
    <row r="912" ht="14.1" hidden="1" customHeight="1" x14ac:dyDescent="0.2"/>
    <row r="913" ht="14.1" hidden="1" customHeight="1" x14ac:dyDescent="0.2"/>
    <row r="914" ht="14.1" hidden="1" customHeight="1" x14ac:dyDescent="0.2"/>
    <row r="915" ht="14.1" hidden="1" customHeight="1" x14ac:dyDescent="0.2"/>
    <row r="916" ht="14.1" hidden="1" customHeight="1" x14ac:dyDescent="0.2"/>
    <row r="917" ht="14.1" hidden="1" customHeight="1" x14ac:dyDescent="0.2"/>
    <row r="918" ht="14.1" hidden="1" customHeight="1" x14ac:dyDescent="0.2"/>
    <row r="919" ht="14.1" hidden="1" customHeight="1" x14ac:dyDescent="0.2"/>
    <row r="920" ht="14.1" hidden="1" customHeight="1" x14ac:dyDescent="0.2"/>
    <row r="921" ht="14.1" hidden="1" customHeight="1" x14ac:dyDescent="0.2"/>
    <row r="922" ht="14.1" hidden="1" customHeight="1" x14ac:dyDescent="0.2"/>
    <row r="923" ht="14.1" hidden="1" customHeight="1" x14ac:dyDescent="0.2"/>
    <row r="924" ht="14.1" hidden="1" customHeight="1" x14ac:dyDescent="0.2"/>
    <row r="925" ht="14.1" hidden="1" customHeight="1" x14ac:dyDescent="0.2"/>
    <row r="926" ht="14.1" hidden="1" customHeight="1" x14ac:dyDescent="0.2"/>
    <row r="927" ht="14.1" hidden="1" customHeight="1" x14ac:dyDescent="0.2"/>
    <row r="928" ht="14.1" hidden="1" customHeight="1" x14ac:dyDescent="0.2"/>
    <row r="929" ht="14.1" hidden="1" customHeight="1" x14ac:dyDescent="0.2"/>
    <row r="930" ht="14.1" hidden="1" customHeight="1" x14ac:dyDescent="0.2"/>
    <row r="931" ht="14.1" hidden="1" customHeight="1" x14ac:dyDescent="0.2"/>
    <row r="932" ht="14.1" hidden="1" customHeight="1" x14ac:dyDescent="0.2"/>
    <row r="933" ht="14.1" hidden="1" customHeight="1" x14ac:dyDescent="0.2"/>
    <row r="934" ht="14.1" hidden="1" customHeight="1" x14ac:dyDescent="0.2"/>
    <row r="935" ht="14.1" hidden="1" customHeight="1" x14ac:dyDescent="0.2"/>
    <row r="936" ht="14.1" hidden="1" customHeight="1" x14ac:dyDescent="0.2"/>
    <row r="937" ht="14.1" hidden="1" customHeight="1" x14ac:dyDescent="0.2"/>
    <row r="938" ht="14.1" hidden="1" customHeight="1" x14ac:dyDescent="0.2"/>
    <row r="939" ht="14.1" hidden="1" customHeight="1" x14ac:dyDescent="0.2"/>
    <row r="940" ht="14.1" hidden="1" customHeight="1" x14ac:dyDescent="0.2"/>
    <row r="941" ht="14.1" hidden="1" customHeight="1" x14ac:dyDescent="0.2"/>
    <row r="942" ht="14.1" hidden="1" customHeight="1" x14ac:dyDescent="0.2"/>
    <row r="943" ht="14.1" hidden="1" customHeight="1" x14ac:dyDescent="0.2"/>
    <row r="944" ht="14.1" hidden="1" customHeight="1" x14ac:dyDescent="0.2"/>
    <row r="945" ht="14.1" hidden="1" customHeight="1" x14ac:dyDescent="0.2"/>
    <row r="946" ht="14.1" hidden="1" customHeight="1" x14ac:dyDescent="0.2"/>
    <row r="947" ht="14.1" hidden="1" customHeight="1" x14ac:dyDescent="0.2"/>
    <row r="948" ht="14.1" hidden="1" customHeight="1" x14ac:dyDescent="0.2"/>
    <row r="949" ht="14.1" hidden="1" customHeight="1" x14ac:dyDescent="0.2"/>
    <row r="950" ht="14.1" hidden="1" customHeight="1" x14ac:dyDescent="0.2"/>
    <row r="951" ht="14.1" hidden="1" customHeight="1" x14ac:dyDescent="0.2"/>
    <row r="952" ht="14.1" hidden="1" customHeight="1" x14ac:dyDescent="0.2"/>
    <row r="953" ht="14.1" hidden="1" customHeight="1" x14ac:dyDescent="0.2"/>
    <row r="954" ht="14.1" hidden="1" customHeight="1" x14ac:dyDescent="0.2"/>
    <row r="955" ht="14.1" hidden="1" customHeight="1" x14ac:dyDescent="0.2"/>
    <row r="956" ht="14.1" hidden="1" customHeight="1" x14ac:dyDescent="0.2"/>
    <row r="957" ht="14.1" hidden="1" customHeight="1" x14ac:dyDescent="0.2"/>
    <row r="958" ht="14.1" hidden="1" customHeight="1" x14ac:dyDescent="0.2"/>
    <row r="959" ht="14.1" hidden="1" customHeight="1" x14ac:dyDescent="0.2"/>
    <row r="960" ht="14.1" hidden="1" customHeight="1" x14ac:dyDescent="0.2"/>
    <row r="961" ht="14.1" hidden="1" customHeight="1" x14ac:dyDescent="0.2"/>
    <row r="962" ht="14.1" hidden="1" customHeight="1" x14ac:dyDescent="0.2"/>
    <row r="963" ht="14.1" hidden="1" customHeight="1" x14ac:dyDescent="0.2"/>
    <row r="964" ht="14.1" hidden="1" customHeight="1" x14ac:dyDescent="0.2"/>
    <row r="965" ht="14.1" hidden="1" customHeight="1" x14ac:dyDescent="0.2"/>
    <row r="966" ht="14.1" hidden="1" customHeight="1" x14ac:dyDescent="0.2"/>
    <row r="967" ht="14.1" hidden="1" customHeight="1" x14ac:dyDescent="0.2"/>
    <row r="968" ht="14.1" hidden="1" customHeight="1" x14ac:dyDescent="0.2"/>
    <row r="969" ht="14.1" hidden="1" customHeight="1" x14ac:dyDescent="0.2"/>
    <row r="970" ht="14.1" hidden="1" customHeight="1" x14ac:dyDescent="0.2"/>
    <row r="971" ht="14.1" hidden="1" customHeight="1" x14ac:dyDescent="0.2"/>
    <row r="972" ht="14.1" hidden="1" customHeight="1" x14ac:dyDescent="0.2"/>
    <row r="973" ht="14.1" hidden="1" customHeight="1" x14ac:dyDescent="0.2"/>
    <row r="974" ht="14.1" hidden="1" customHeight="1" x14ac:dyDescent="0.2"/>
    <row r="975" ht="14.1" hidden="1" customHeight="1" x14ac:dyDescent="0.2"/>
  </sheetData>
  <sheetProtection algorithmName="SHA-512" hashValue="6REbVJjQFFAKM6wGc8/kkko4rMTC/ElIzoE7308phlZYh2a6SCJsYrtx7+1ZKeYFqlQOogVQ9oWmIBMp5YB+vQ==" saltValue="FxMl191QambXUw3/XiCrQA==" spinCount="100000" sheet="1" objects="1" scenarios="1" selectLockedCells="1" autoFilter="0"/>
  <mergeCells count="22">
    <mergeCell ref="H5:J5"/>
    <mergeCell ref="B6:C6"/>
    <mergeCell ref="E6:F6"/>
    <mergeCell ref="H6:J6"/>
    <mergeCell ref="B11:C11"/>
    <mergeCell ref="E11:F11"/>
    <mergeCell ref="H7:J7"/>
    <mergeCell ref="B9:E9"/>
    <mergeCell ref="E10:F10"/>
    <mergeCell ref="B2:G2"/>
    <mergeCell ref="B5:C5"/>
    <mergeCell ref="E5:F5"/>
    <mergeCell ref="B7:C7"/>
    <mergeCell ref="E7:F7"/>
    <mergeCell ref="B76:I76"/>
    <mergeCell ref="F77:H77"/>
    <mergeCell ref="B21:E21"/>
    <mergeCell ref="E22:F22"/>
    <mergeCell ref="B32:F32"/>
    <mergeCell ref="E43:G43"/>
    <mergeCell ref="H43:K43"/>
    <mergeCell ref="B69:E69"/>
  </mergeCells>
  <conditionalFormatting sqref="B26:K27 B29:K30 B17:K17 B24:K24 B35:K35">
    <cfRule type="expression" dxfId="7" priority="8">
      <formula>OR(_Dach_Typ="Fdg",_Dach_Typ="Fd")</formula>
    </cfRule>
  </conditionalFormatting>
  <conditionalFormatting sqref="B39:K39">
    <cfRule type="expression" dxfId="6" priority="5">
      <formula>AND(ISNUMBER($E$38),OR($E$27&gt;0,$E$30&gt;0))</formula>
    </cfRule>
  </conditionalFormatting>
  <conditionalFormatting sqref="E17">
    <cfRule type="expression" dxfId="5" priority="2">
      <formula>OR(_Dach_Typ="Fd",_Dach_Typ="Fdg")</formula>
    </cfRule>
  </conditionalFormatting>
  <conditionalFormatting sqref="E39">
    <cfRule type="expression" dxfId="4" priority="6">
      <formula>AND(ISNUMBER($E$38),OR($E$27&gt;0,$E$30&gt;0))</formula>
    </cfRule>
  </conditionalFormatting>
  <conditionalFormatting sqref="G26 G29">
    <cfRule type="expression" dxfId="3" priority="7">
      <formula>OR(_Dach_Typ="Fdg",_Dach_Typ="Fd")</formula>
    </cfRule>
  </conditionalFormatting>
  <conditionalFormatting sqref="G40">
    <cfRule type="expression" dxfId="2" priority="3">
      <formula>$E$40=0</formula>
    </cfRule>
  </conditionalFormatting>
  <conditionalFormatting sqref="G41">
    <cfRule type="expression" dxfId="1" priority="4">
      <formula>$E$41=0</formula>
    </cfRule>
  </conditionalFormatting>
  <conditionalFormatting sqref="G26:I26 G29:I29">
    <cfRule type="expression" dxfId="0" priority="1">
      <formula>$G26&gt;$E25</formula>
    </cfRule>
  </conditionalFormatting>
  <dataValidations count="6">
    <dataValidation type="list" allowBlank="1" showInputMessage="1" showErrorMessage="1" sqref="E16:E17" xr:uid="{9568DFA7-A3D7-4070-93D6-E971A8C2FB30}">
      <formula1>_Liste_Blendung</formula1>
    </dataValidation>
    <dataValidation type="list" allowBlank="1" showInputMessage="1" showErrorMessage="1" sqref="E11" xr:uid="{FC6F9F95-00EF-4FD1-9DE2-E53A9F0E2CDA}">
      <formula1>_Liste_Dachtypen</formula1>
    </dataValidation>
    <dataValidation type="list" allowBlank="1" showInputMessage="1" showErrorMessage="1" sqref="E22" xr:uid="{C4297CE1-7A0F-48EC-8899-0311C26B0AFF}">
      <formula1>$G$22:$H$22</formula1>
    </dataValidation>
    <dataValidation type="custom" allowBlank="1" showErrorMessage="1" errorTitle="Falsche Eingabe" error="Feld nur für Dachtyp Flachdach / Flachdach begrünt ausfüllen_x000a__x000a_Diese Zahl muss kleiner oder gleich wie die Stückzahl der technischen Vollbelegung sein." promptTitle="Nur bei Flachdach erforderlich" sqref="G26" xr:uid="{C6C566BA-39B8-474D-81A8-D028F9DCEC56}">
      <formula1>AND(G26&lt;=E25,G26&gt;0)</formula1>
    </dataValidation>
    <dataValidation type="custom" allowBlank="1" showInputMessage="1" showErrorMessage="1" errorTitle="Unzulässige Eingabe" error="Der Wert muss kleiner der Stückzahl der technischen Vollbelegung sein." sqref="E28" xr:uid="{7EB3C237-CCDA-4BED-AE35-001E4EFF42E1}">
      <formula1>E28&lt;=E25</formula1>
    </dataValidation>
    <dataValidation type="custom" allowBlank="1" showInputMessage="1" showErrorMessage="1" errorTitle="Falsche Eingabe" error="Feld nur für Dachtyp Flachdach / Flachdach begrünt ausfüllen_x000a__x000a_Diese Zahl muss kleiner oder gleich wie die Stückzahl vom gestzlichen Minimum sein." sqref="G29" xr:uid="{6F1C9775-E009-41C2-B70C-61AFB5F91ADB}">
      <formula1>AND(G29&lt;=E28,G29&gt;0)</formula1>
    </dataValidation>
  </dataValidations>
  <pageMargins left="0.55118110236220474" right="0.51181102362204722" top="0.74803149606299213" bottom="0.70866141732283472" header="0.31496062992125984" footer="0.31496062992125984"/>
  <pageSetup paperSize="9" scale="65" fitToHeight="0" orientation="portrait" r:id="rId1"/>
  <headerFooter>
    <oddHeader xml:space="preserve">&amp;L&amp;8         Planungshilfe Nachweis wirtschaftliche Unverhältnismässigkeit&amp;R&amp;8Stadt Luzern </oddHeader>
    <oddFooter xml:space="preserve">&amp;L&amp;8         &amp;P | &amp;N&amp;R&amp;8Nächste Revision 12.12.2026 </oddFooter>
    <firstHeader>&amp;L&amp;G</firstHead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L976"/>
  <sheetViews>
    <sheetView showGridLines="0" view="pageLayout" zoomScaleNormal="145" zoomScaleSheetLayoutView="130" workbookViewId="0"/>
  </sheetViews>
  <sheetFormatPr baseColWidth="10" defaultColWidth="0" defaultRowHeight="12.75" zeroHeight="1" x14ac:dyDescent="0.2"/>
  <cols>
    <col min="1" max="1" width="3.7109375" style="257" customWidth="1"/>
    <col min="2" max="2" width="15.28515625" style="75" customWidth="1"/>
    <col min="3" max="3" width="13" style="75" customWidth="1"/>
    <col min="4" max="4" width="8.140625" style="75" customWidth="1"/>
    <col min="5" max="6" width="10.85546875" style="75" customWidth="1"/>
    <col min="7" max="7" width="3.5703125" style="75" customWidth="1"/>
    <col min="8" max="8" width="10.85546875" customWidth="1"/>
    <col min="9" max="9" width="17.42578125" customWidth="1"/>
    <col min="10" max="10" width="4.42578125" customWidth="1"/>
    <col min="11" max="12" width="10.85546875" hidden="1" customWidth="1"/>
    <col min="13" max="16384" width="11.42578125" hidden="1"/>
  </cols>
  <sheetData>
    <row r="1" spans="1:12" ht="33.75" x14ac:dyDescent="0.2">
      <c r="B1" s="576" t="s">
        <v>40</v>
      </c>
    </row>
    <row r="2" spans="1:12" ht="7.5" customHeight="1" x14ac:dyDescent="0.2">
      <c r="A2" s="577"/>
    </row>
    <row r="3" spans="1:12" s="578" customFormat="1" ht="17.25" x14ac:dyDescent="0.2">
      <c r="A3" s="257"/>
      <c r="B3" s="721" t="s">
        <v>156</v>
      </c>
      <c r="C3" s="721"/>
      <c r="D3" s="721"/>
      <c r="E3" s="721"/>
      <c r="F3" s="721"/>
      <c r="G3" s="721"/>
      <c r="H3" s="721"/>
    </row>
    <row r="4" spans="1:12" x14ac:dyDescent="0.2"/>
    <row r="5" spans="1:12" x14ac:dyDescent="0.2">
      <c r="B5" s="76" t="s">
        <v>391</v>
      </c>
    </row>
    <row r="6" spans="1:12" s="1" customFormat="1" x14ac:dyDescent="0.2">
      <c r="A6" s="258"/>
      <c r="B6" s="75" t="s">
        <v>157</v>
      </c>
      <c r="C6" s="720" t="s">
        <v>392</v>
      </c>
      <c r="D6" s="720"/>
      <c r="E6" s="720"/>
      <c r="F6" s="720"/>
      <c r="G6" s="720"/>
      <c r="H6" s="720"/>
    </row>
    <row r="7" spans="1:12" x14ac:dyDescent="0.2"/>
    <row r="8" spans="1:12" ht="25.5" customHeight="1" x14ac:dyDescent="0.2">
      <c r="B8" s="720" t="s">
        <v>393</v>
      </c>
      <c r="C8" s="720"/>
      <c r="D8" s="720"/>
      <c r="E8" s="720"/>
      <c r="F8" s="720"/>
      <c r="G8" s="720"/>
      <c r="H8" s="720"/>
      <c r="I8" s="720"/>
      <c r="J8" s="140"/>
      <c r="K8" s="140"/>
      <c r="L8" s="140"/>
    </row>
    <row r="9" spans="1:12" x14ac:dyDescent="0.2"/>
    <row r="10" spans="1:12" x14ac:dyDescent="0.2"/>
    <row r="11" spans="1:12" x14ac:dyDescent="0.2"/>
    <row r="12" spans="1:12" x14ac:dyDescent="0.2"/>
    <row r="13" spans="1:12" x14ac:dyDescent="0.2"/>
    <row r="14" spans="1:12" x14ac:dyDescent="0.2"/>
    <row r="15" spans="1:12" x14ac:dyDescent="0.2"/>
    <row r="16" spans="1:12" x14ac:dyDescent="0.2"/>
    <row r="17" spans="2:6" x14ac:dyDescent="0.2"/>
    <row r="18" spans="2:6" x14ac:dyDescent="0.2"/>
    <row r="19" spans="2:6" x14ac:dyDescent="0.2"/>
    <row r="20" spans="2:6" x14ac:dyDescent="0.2"/>
    <row r="21" spans="2:6" x14ac:dyDescent="0.2"/>
    <row r="22" spans="2:6" x14ac:dyDescent="0.2"/>
    <row r="23" spans="2:6" x14ac:dyDescent="0.2"/>
    <row r="24" spans="2:6" x14ac:dyDescent="0.2"/>
    <row r="25" spans="2:6" x14ac:dyDescent="0.2"/>
    <row r="26" spans="2:6" x14ac:dyDescent="0.2"/>
    <row r="27" spans="2:6" x14ac:dyDescent="0.2"/>
    <row r="28" spans="2:6" x14ac:dyDescent="0.2"/>
    <row r="29" spans="2:6" x14ac:dyDescent="0.2"/>
    <row r="30" spans="2:6" x14ac:dyDescent="0.2"/>
    <row r="31" spans="2:6" x14ac:dyDescent="0.2"/>
    <row r="32" spans="2:6" x14ac:dyDescent="0.2">
      <c r="B32" s="601" t="s">
        <v>159</v>
      </c>
      <c r="C32" s="601"/>
      <c r="D32" s="601"/>
      <c r="E32" s="601"/>
      <c r="F32" s="601"/>
    </row>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spans="2:2" x14ac:dyDescent="0.2"/>
    <row r="50" spans="2:2" x14ac:dyDescent="0.2"/>
    <row r="51" spans="2:2" x14ac:dyDescent="0.2"/>
    <row r="52" spans="2:2" x14ac:dyDescent="0.2"/>
    <row r="53" spans="2:2" x14ac:dyDescent="0.2"/>
    <row r="54" spans="2:2" x14ac:dyDescent="0.2"/>
    <row r="55" spans="2:2" x14ac:dyDescent="0.2"/>
    <row r="56" spans="2:2" ht="9.75" customHeight="1" x14ac:dyDescent="0.2"/>
    <row r="57" spans="2:2" ht="9.75" customHeight="1" x14ac:dyDescent="0.2"/>
    <row r="58" spans="2:2" x14ac:dyDescent="0.2">
      <c r="B58" t="s">
        <v>394</v>
      </c>
    </row>
    <row r="59" spans="2:2" x14ac:dyDescent="0.2"/>
    <row r="60" spans="2:2" x14ac:dyDescent="0.2"/>
    <row r="61" spans="2:2" x14ac:dyDescent="0.2"/>
    <row r="62" spans="2:2" x14ac:dyDescent="0.2"/>
    <row r="63" spans="2:2" x14ac:dyDescent="0.2"/>
    <row r="64" spans="2:2" x14ac:dyDescent="0.2"/>
    <row r="65" spans="1:8" x14ac:dyDescent="0.2"/>
    <row r="66" spans="1:8" x14ac:dyDescent="0.2"/>
    <row r="67" spans="1:8" x14ac:dyDescent="0.2"/>
    <row r="68" spans="1:8" x14ac:dyDescent="0.2"/>
    <row r="69" spans="1:8" x14ac:dyDescent="0.2"/>
    <row r="70" spans="1:8" x14ac:dyDescent="0.2"/>
    <row r="71" spans="1:8" x14ac:dyDescent="0.2"/>
    <row r="72" spans="1:8" x14ac:dyDescent="0.2"/>
    <row r="73" spans="1:8" x14ac:dyDescent="0.2"/>
    <row r="74" spans="1:8" x14ac:dyDescent="0.2"/>
    <row r="75" spans="1:8" x14ac:dyDescent="0.2"/>
    <row r="76" spans="1:8" x14ac:dyDescent="0.2"/>
    <row r="77" spans="1:8" x14ac:dyDescent="0.2"/>
    <row r="78" spans="1:8" x14ac:dyDescent="0.2"/>
    <row r="79" spans="1:8" s="580" customFormat="1" x14ac:dyDescent="0.2">
      <c r="A79" s="257"/>
      <c r="B79" s="579"/>
      <c r="C79" s="579"/>
      <c r="D79" s="579"/>
      <c r="E79" s="579"/>
      <c r="F79" s="579"/>
      <c r="G79" s="579"/>
    </row>
    <row r="80" spans="1:8" ht="17.25" x14ac:dyDescent="0.2">
      <c r="A80" s="409"/>
      <c r="B80" s="721" t="s">
        <v>155</v>
      </c>
      <c r="C80" s="721"/>
      <c r="D80" s="721"/>
      <c r="E80" s="721"/>
      <c r="F80" s="721"/>
      <c r="G80" s="721"/>
      <c r="H80" s="721"/>
    </row>
    <row r="81" spans="1:9" x14ac:dyDescent="0.2">
      <c r="B81" s="75" t="s">
        <v>171</v>
      </c>
    </row>
    <row r="82" spans="1:9" x14ac:dyDescent="0.2">
      <c r="B82" s="75" t="s">
        <v>395</v>
      </c>
    </row>
    <row r="83" spans="1:9" x14ac:dyDescent="0.2"/>
    <row r="84" spans="1:9" ht="25.5" customHeight="1" x14ac:dyDescent="0.2">
      <c r="B84" s="598" t="s">
        <v>396</v>
      </c>
      <c r="C84" s="598"/>
      <c r="D84" s="598"/>
      <c r="E84" s="598"/>
      <c r="F84" s="598"/>
      <c r="G84" s="598"/>
      <c r="H84" s="598"/>
      <c r="I84" s="598"/>
    </row>
    <row r="85" spans="1:9" ht="25.5" customHeight="1" x14ac:dyDescent="0.2">
      <c r="B85" s="75" t="s">
        <v>157</v>
      </c>
      <c r="C85" s="720" t="s">
        <v>158</v>
      </c>
      <c r="D85" s="720"/>
      <c r="E85" s="720"/>
      <c r="F85" s="720"/>
      <c r="G85" s="720"/>
      <c r="H85" s="720"/>
      <c r="I85" s="720"/>
    </row>
    <row r="86" spans="1:9" x14ac:dyDescent="0.2">
      <c r="B86" s="76" t="s">
        <v>173</v>
      </c>
    </row>
    <row r="87" spans="1:9" x14ac:dyDescent="0.2">
      <c r="B87" s="76"/>
    </row>
    <row r="88" spans="1:9" x14ac:dyDescent="0.2">
      <c r="B88" s="75" t="s">
        <v>174</v>
      </c>
    </row>
    <row r="89" spans="1:9" x14ac:dyDescent="0.2"/>
    <row r="90" spans="1:9" s="578" customFormat="1" ht="17.25" x14ac:dyDescent="0.2">
      <c r="A90" s="257"/>
      <c r="B90" s="721" t="s">
        <v>160</v>
      </c>
      <c r="C90" s="721"/>
      <c r="D90" s="721"/>
      <c r="E90" s="721"/>
      <c r="F90" s="721"/>
      <c r="G90" s="721"/>
      <c r="H90" s="721"/>
      <c r="I90" s="721"/>
    </row>
    <row r="91" spans="1:9" x14ac:dyDescent="0.2"/>
    <row r="92" spans="1:9" ht="25.5" customHeight="1" x14ac:dyDescent="0.2">
      <c r="B92" s="75" t="s">
        <v>161</v>
      </c>
      <c r="C92" s="720" t="s">
        <v>162</v>
      </c>
      <c r="D92" s="720"/>
      <c r="E92" s="720"/>
      <c r="F92" s="720"/>
      <c r="G92" s="720"/>
      <c r="H92" s="720"/>
      <c r="I92" s="720"/>
    </row>
    <row r="93" spans="1:9" x14ac:dyDescent="0.2">
      <c r="B93" s="76"/>
    </row>
    <row r="94" spans="1:9" x14ac:dyDescent="0.2">
      <c r="B94" s="76"/>
    </row>
    <row r="95" spans="1:9" x14ac:dyDescent="0.2">
      <c r="B95" s="76"/>
    </row>
    <row r="96" spans="1:9" x14ac:dyDescent="0.2">
      <c r="B96" s="76"/>
    </row>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ht="14.1" customHeight="1" x14ac:dyDescent="0.2"/>
    <row r="142" ht="14.1" customHeight="1" x14ac:dyDescent="0.2"/>
    <row r="143" ht="14.1" customHeight="1" x14ac:dyDescent="0.2"/>
    <row r="144" ht="14.1" customHeight="1" x14ac:dyDescent="0.2"/>
    <row r="145" ht="14.1" customHeight="1" x14ac:dyDescent="0.2"/>
    <row r="146" ht="14.1" customHeight="1" x14ac:dyDescent="0.2"/>
    <row r="147" ht="14.1" customHeight="1" x14ac:dyDescent="0.2"/>
    <row r="148" ht="14.1" hidden="1" customHeight="1" x14ac:dyDescent="0.2"/>
    <row r="149" ht="14.1" hidden="1" customHeight="1" x14ac:dyDescent="0.2"/>
    <row r="150" ht="14.1" hidden="1" customHeight="1" x14ac:dyDescent="0.2"/>
    <row r="151" ht="14.1" hidden="1" customHeight="1" x14ac:dyDescent="0.2"/>
    <row r="152" ht="14.1" hidden="1" customHeight="1" x14ac:dyDescent="0.2"/>
    <row r="153" ht="14.1" hidden="1" customHeight="1" x14ac:dyDescent="0.2"/>
    <row r="154" ht="14.1" hidden="1" customHeight="1" x14ac:dyDescent="0.2"/>
    <row r="155" ht="14.1" hidden="1" customHeight="1" x14ac:dyDescent="0.2"/>
    <row r="156" ht="14.1" hidden="1" customHeight="1" x14ac:dyDescent="0.2"/>
    <row r="157" ht="14.1" hidden="1" customHeight="1" x14ac:dyDescent="0.2"/>
    <row r="158" ht="14.1" hidden="1" customHeight="1" x14ac:dyDescent="0.2"/>
    <row r="159" ht="14.1" hidden="1" customHeight="1" x14ac:dyDescent="0.2"/>
    <row r="160" ht="14.1" hidden="1" customHeight="1" x14ac:dyDescent="0.2"/>
    <row r="161" ht="14.1" hidden="1" customHeight="1" x14ac:dyDescent="0.2"/>
    <row r="162" ht="14.1" hidden="1" customHeight="1" x14ac:dyDescent="0.2"/>
    <row r="163" ht="14.1" hidden="1" customHeight="1" x14ac:dyDescent="0.2"/>
    <row r="164" ht="14.1" hidden="1" customHeight="1" x14ac:dyDescent="0.2"/>
    <row r="165" ht="14.1" hidden="1" customHeight="1" x14ac:dyDescent="0.2"/>
    <row r="166" ht="14.1" hidden="1" customHeight="1" x14ac:dyDescent="0.2"/>
    <row r="167" ht="14.1" hidden="1" customHeight="1" x14ac:dyDescent="0.2"/>
    <row r="168" ht="14.1" hidden="1" customHeight="1" x14ac:dyDescent="0.2"/>
    <row r="169" ht="14.1" hidden="1" customHeight="1" x14ac:dyDescent="0.2"/>
    <row r="170" ht="14.1" hidden="1" customHeight="1" x14ac:dyDescent="0.2"/>
    <row r="171" ht="14.1" hidden="1" customHeight="1" x14ac:dyDescent="0.2"/>
    <row r="172" ht="14.1" hidden="1" customHeight="1" x14ac:dyDescent="0.2"/>
    <row r="173" ht="14.1" hidden="1" customHeight="1" x14ac:dyDescent="0.2"/>
    <row r="174" ht="14.1" hidden="1" customHeight="1" x14ac:dyDescent="0.2"/>
    <row r="175" ht="14.1" hidden="1" customHeight="1" x14ac:dyDescent="0.2"/>
    <row r="176" ht="14.1" hidden="1" customHeight="1" x14ac:dyDescent="0.2"/>
    <row r="177" ht="14.1" hidden="1" customHeight="1" x14ac:dyDescent="0.2"/>
    <row r="178" ht="14.1" hidden="1" customHeight="1" x14ac:dyDescent="0.2"/>
    <row r="179" ht="14.1" hidden="1" customHeight="1" x14ac:dyDescent="0.2"/>
    <row r="180" ht="14.1" hidden="1" customHeight="1" x14ac:dyDescent="0.2"/>
    <row r="181" ht="14.1" hidden="1" customHeight="1" x14ac:dyDescent="0.2"/>
    <row r="182" ht="14.1" hidden="1" customHeight="1" x14ac:dyDescent="0.2"/>
    <row r="183" ht="14.1" hidden="1" customHeight="1" x14ac:dyDescent="0.2"/>
    <row r="184" ht="14.1" hidden="1" customHeight="1" x14ac:dyDescent="0.2"/>
    <row r="185" ht="14.1" hidden="1" customHeight="1" x14ac:dyDescent="0.2"/>
    <row r="186" ht="14.1" hidden="1" customHeight="1" x14ac:dyDescent="0.2"/>
    <row r="187" ht="14.1" hidden="1" customHeight="1" x14ac:dyDescent="0.2"/>
    <row r="188" ht="14.1" hidden="1" customHeight="1" x14ac:dyDescent="0.2"/>
    <row r="189" ht="14.1" hidden="1" customHeight="1" x14ac:dyDescent="0.2"/>
    <row r="190" ht="14.1" hidden="1" customHeight="1" x14ac:dyDescent="0.2"/>
    <row r="191" ht="14.1" hidden="1" customHeight="1" x14ac:dyDescent="0.2"/>
    <row r="192" ht="14.1" hidden="1" customHeight="1" x14ac:dyDescent="0.2"/>
    <row r="193" ht="14.1" hidden="1" customHeight="1" x14ac:dyDescent="0.2"/>
    <row r="194" ht="14.1" hidden="1" customHeight="1" x14ac:dyDescent="0.2"/>
    <row r="195" ht="14.1" hidden="1" customHeight="1" x14ac:dyDescent="0.2"/>
    <row r="196" ht="14.1" hidden="1" customHeight="1" x14ac:dyDescent="0.2"/>
    <row r="197" ht="14.1" hidden="1" customHeight="1" x14ac:dyDescent="0.2"/>
    <row r="198" ht="14.1" hidden="1" customHeight="1" x14ac:dyDescent="0.2"/>
    <row r="199" ht="14.1" hidden="1" customHeight="1" x14ac:dyDescent="0.2"/>
    <row r="200" ht="14.1" hidden="1" customHeight="1" x14ac:dyDescent="0.2"/>
    <row r="201" ht="14.1" hidden="1" customHeight="1" x14ac:dyDescent="0.2"/>
    <row r="202" ht="14.1" hidden="1" customHeight="1" x14ac:dyDescent="0.2"/>
    <row r="203" ht="14.1" hidden="1" customHeight="1" x14ac:dyDescent="0.2"/>
    <row r="204" ht="14.1" hidden="1" customHeight="1" x14ac:dyDescent="0.2"/>
    <row r="205" ht="14.1" hidden="1" customHeight="1" x14ac:dyDescent="0.2"/>
    <row r="206" ht="14.1" hidden="1" customHeight="1" x14ac:dyDescent="0.2"/>
    <row r="207" ht="14.1" hidden="1" customHeight="1" x14ac:dyDescent="0.2"/>
    <row r="208" ht="14.1" hidden="1" customHeight="1" x14ac:dyDescent="0.2"/>
    <row r="209" ht="14.1" hidden="1" customHeight="1" x14ac:dyDescent="0.2"/>
    <row r="210" ht="14.1" hidden="1" customHeight="1" x14ac:dyDescent="0.2"/>
    <row r="211" ht="14.1" hidden="1" customHeight="1" x14ac:dyDescent="0.2"/>
    <row r="212" ht="14.1" hidden="1" customHeight="1" x14ac:dyDescent="0.2"/>
    <row r="213" ht="14.1" hidden="1" customHeight="1" x14ac:dyDescent="0.2"/>
    <row r="214" ht="14.1" hidden="1" customHeight="1" x14ac:dyDescent="0.2"/>
    <row r="215" ht="14.1" hidden="1" customHeight="1" x14ac:dyDescent="0.2"/>
    <row r="216" ht="14.1" hidden="1" customHeight="1" x14ac:dyDescent="0.2"/>
    <row r="217" ht="14.1" hidden="1" customHeight="1" x14ac:dyDescent="0.2"/>
    <row r="218" ht="14.1" hidden="1" customHeight="1" x14ac:dyDescent="0.2"/>
    <row r="219" ht="14.1" hidden="1" customHeight="1" x14ac:dyDescent="0.2"/>
    <row r="220" ht="14.1" hidden="1" customHeight="1" x14ac:dyDescent="0.2"/>
    <row r="221" ht="14.1" hidden="1" customHeight="1" x14ac:dyDescent="0.2"/>
    <row r="222" ht="14.1" hidden="1" customHeight="1" x14ac:dyDescent="0.2"/>
    <row r="223" ht="14.1" hidden="1" customHeight="1" x14ac:dyDescent="0.2"/>
    <row r="224" ht="14.1" hidden="1" customHeight="1" x14ac:dyDescent="0.2"/>
    <row r="225" ht="14.1" hidden="1" customHeight="1" x14ac:dyDescent="0.2"/>
    <row r="226" ht="14.1" hidden="1" customHeight="1" x14ac:dyDescent="0.2"/>
    <row r="227" ht="14.1" hidden="1" customHeight="1" x14ac:dyDescent="0.2"/>
    <row r="228" ht="14.1" hidden="1" customHeight="1" x14ac:dyDescent="0.2"/>
    <row r="229" ht="14.1" hidden="1" customHeight="1" x14ac:dyDescent="0.2"/>
    <row r="230" ht="14.1" hidden="1" customHeight="1" x14ac:dyDescent="0.2"/>
    <row r="231" ht="14.1" hidden="1" customHeight="1" x14ac:dyDescent="0.2"/>
    <row r="232" ht="14.1" hidden="1" customHeight="1" x14ac:dyDescent="0.2"/>
    <row r="233" ht="14.1" hidden="1" customHeight="1" x14ac:dyDescent="0.2"/>
    <row r="234" ht="14.1" hidden="1" customHeight="1" x14ac:dyDescent="0.2"/>
    <row r="235" ht="14.1" hidden="1" customHeight="1" x14ac:dyDescent="0.2"/>
    <row r="236" ht="14.1" hidden="1" customHeight="1" x14ac:dyDescent="0.2"/>
    <row r="237" ht="14.1" hidden="1" customHeight="1" x14ac:dyDescent="0.2"/>
    <row r="238" ht="14.1" hidden="1" customHeight="1" x14ac:dyDescent="0.2"/>
    <row r="239" ht="14.1" hidden="1" customHeight="1" x14ac:dyDescent="0.2"/>
    <row r="240" ht="14.1" hidden="1" customHeight="1" x14ac:dyDescent="0.2"/>
    <row r="241" ht="14.1" hidden="1" customHeight="1" x14ac:dyDescent="0.2"/>
    <row r="242" ht="14.1" hidden="1" customHeight="1" x14ac:dyDescent="0.2"/>
    <row r="243" ht="14.1" hidden="1" customHeight="1" x14ac:dyDescent="0.2"/>
    <row r="244" ht="14.1" hidden="1" customHeight="1" x14ac:dyDescent="0.2"/>
    <row r="245" ht="14.1" hidden="1" customHeight="1" x14ac:dyDescent="0.2"/>
    <row r="246" ht="14.1" hidden="1" customHeight="1" x14ac:dyDescent="0.2"/>
    <row r="247" ht="14.1" hidden="1" customHeight="1" x14ac:dyDescent="0.2"/>
    <row r="248" ht="14.1" hidden="1" customHeight="1" x14ac:dyDescent="0.2"/>
    <row r="249" ht="14.1" hidden="1" customHeight="1" x14ac:dyDescent="0.2"/>
    <row r="250" ht="14.1" hidden="1" customHeight="1" x14ac:dyDescent="0.2"/>
    <row r="251" ht="14.1" hidden="1" customHeight="1" x14ac:dyDescent="0.2"/>
    <row r="252" ht="14.1" hidden="1" customHeight="1" x14ac:dyDescent="0.2"/>
    <row r="253" ht="14.1" hidden="1" customHeight="1" x14ac:dyDescent="0.2"/>
    <row r="254" ht="14.1" hidden="1" customHeight="1" x14ac:dyDescent="0.2"/>
    <row r="255" ht="14.1" hidden="1" customHeight="1" x14ac:dyDescent="0.2"/>
    <row r="256" ht="14.1" hidden="1" customHeight="1" x14ac:dyDescent="0.2"/>
    <row r="257" ht="14.1" hidden="1" customHeight="1" x14ac:dyDescent="0.2"/>
    <row r="258" ht="14.1" hidden="1" customHeight="1" x14ac:dyDescent="0.2"/>
    <row r="259" ht="14.1" hidden="1" customHeight="1" x14ac:dyDescent="0.2"/>
    <row r="260" ht="14.1" hidden="1" customHeight="1" x14ac:dyDescent="0.2"/>
    <row r="261" ht="14.1" hidden="1" customHeight="1" x14ac:dyDescent="0.2"/>
    <row r="262" ht="14.1" hidden="1" customHeight="1" x14ac:dyDescent="0.2"/>
    <row r="263" ht="14.1" hidden="1" customHeight="1" x14ac:dyDescent="0.2"/>
    <row r="264" ht="14.1" hidden="1" customHeight="1" x14ac:dyDescent="0.2"/>
    <row r="265" ht="14.1" hidden="1" customHeight="1" x14ac:dyDescent="0.2"/>
    <row r="266" ht="14.1" hidden="1" customHeight="1" x14ac:dyDescent="0.2"/>
    <row r="267" ht="14.1" hidden="1" customHeight="1" x14ac:dyDescent="0.2"/>
    <row r="268" ht="14.1" hidden="1" customHeight="1" x14ac:dyDescent="0.2"/>
    <row r="269" ht="14.1" hidden="1" customHeight="1" x14ac:dyDescent="0.2"/>
    <row r="270" ht="14.1" hidden="1" customHeight="1" x14ac:dyDescent="0.2"/>
    <row r="271" ht="14.1" hidden="1" customHeight="1" x14ac:dyDescent="0.2"/>
    <row r="272" ht="14.1" hidden="1" customHeight="1" x14ac:dyDescent="0.2"/>
    <row r="273" ht="14.1" hidden="1" customHeight="1" x14ac:dyDescent="0.2"/>
    <row r="274" ht="14.1" hidden="1" customHeight="1" x14ac:dyDescent="0.2"/>
    <row r="275" ht="14.1" hidden="1" customHeight="1" x14ac:dyDescent="0.2"/>
    <row r="276" ht="14.1" hidden="1" customHeight="1" x14ac:dyDescent="0.2"/>
    <row r="277" ht="14.1" hidden="1" customHeight="1" x14ac:dyDescent="0.2"/>
    <row r="278" ht="14.1" hidden="1" customHeight="1" x14ac:dyDescent="0.2"/>
    <row r="279" ht="14.1" hidden="1" customHeight="1" x14ac:dyDescent="0.2"/>
    <row r="280" ht="14.1" hidden="1" customHeight="1" x14ac:dyDescent="0.2"/>
    <row r="281" ht="14.1" hidden="1" customHeight="1" x14ac:dyDescent="0.2"/>
    <row r="282" ht="14.1" hidden="1" customHeight="1" x14ac:dyDescent="0.2"/>
    <row r="283" ht="14.1" hidden="1" customHeight="1" x14ac:dyDescent="0.2"/>
    <row r="284" ht="14.1" hidden="1" customHeight="1" x14ac:dyDescent="0.2"/>
    <row r="285" ht="14.1" hidden="1" customHeight="1" x14ac:dyDescent="0.2"/>
    <row r="286" ht="14.1" hidden="1" customHeight="1" x14ac:dyDescent="0.2"/>
    <row r="287" ht="14.1" hidden="1" customHeight="1" x14ac:dyDescent="0.2"/>
    <row r="288" ht="14.1" hidden="1" customHeight="1" x14ac:dyDescent="0.2"/>
    <row r="289" ht="14.1" hidden="1" customHeight="1" x14ac:dyDescent="0.2"/>
    <row r="290" ht="14.1" hidden="1" customHeight="1" x14ac:dyDescent="0.2"/>
    <row r="291" ht="14.1" hidden="1" customHeight="1" x14ac:dyDescent="0.2"/>
    <row r="292" ht="14.1" hidden="1" customHeight="1" x14ac:dyDescent="0.2"/>
    <row r="293" ht="14.1" hidden="1" customHeight="1" x14ac:dyDescent="0.2"/>
    <row r="294" ht="14.1" hidden="1" customHeight="1" x14ac:dyDescent="0.2"/>
    <row r="295" ht="14.1" hidden="1" customHeight="1" x14ac:dyDescent="0.2"/>
    <row r="296" ht="14.1" hidden="1" customHeight="1" x14ac:dyDescent="0.2"/>
    <row r="297" ht="14.1" hidden="1" customHeight="1" x14ac:dyDescent="0.2"/>
    <row r="298" ht="14.1" hidden="1" customHeight="1" x14ac:dyDescent="0.2"/>
    <row r="299" ht="14.1" hidden="1" customHeight="1" x14ac:dyDescent="0.2"/>
    <row r="300" ht="14.1" hidden="1" customHeight="1" x14ac:dyDescent="0.2"/>
    <row r="301" ht="14.1" hidden="1" customHeight="1" x14ac:dyDescent="0.2"/>
    <row r="302" ht="14.1" hidden="1" customHeight="1" x14ac:dyDescent="0.2"/>
    <row r="303" ht="14.1" hidden="1" customHeight="1" x14ac:dyDescent="0.2"/>
    <row r="304" ht="14.1" hidden="1" customHeight="1" x14ac:dyDescent="0.2"/>
    <row r="305" ht="14.1" hidden="1" customHeight="1" x14ac:dyDescent="0.2"/>
    <row r="306" ht="14.1" hidden="1" customHeight="1" x14ac:dyDescent="0.2"/>
    <row r="307" ht="14.1" hidden="1" customHeight="1" x14ac:dyDescent="0.2"/>
    <row r="308" ht="14.1" hidden="1" customHeight="1" x14ac:dyDescent="0.2"/>
    <row r="309" ht="14.1" hidden="1" customHeight="1" x14ac:dyDescent="0.2"/>
    <row r="310" ht="14.1" hidden="1" customHeight="1" x14ac:dyDescent="0.2"/>
    <row r="311" ht="14.1" hidden="1" customHeight="1" x14ac:dyDescent="0.2"/>
    <row r="312" ht="14.1" hidden="1" customHeight="1" x14ac:dyDescent="0.2"/>
    <row r="313" ht="14.1" hidden="1" customHeight="1" x14ac:dyDescent="0.2"/>
    <row r="314" ht="14.1" hidden="1" customHeight="1" x14ac:dyDescent="0.2"/>
    <row r="315" ht="14.1" hidden="1" customHeight="1" x14ac:dyDescent="0.2"/>
    <row r="316" ht="14.1" hidden="1" customHeight="1" x14ac:dyDescent="0.2"/>
    <row r="317" ht="14.1" hidden="1" customHeight="1" x14ac:dyDescent="0.2"/>
    <row r="318" ht="14.1" hidden="1" customHeight="1" x14ac:dyDescent="0.2"/>
    <row r="319" ht="14.1" hidden="1" customHeight="1" x14ac:dyDescent="0.2"/>
    <row r="320" ht="14.1" hidden="1" customHeight="1" x14ac:dyDescent="0.2"/>
    <row r="321" ht="14.1" hidden="1" customHeight="1" x14ac:dyDescent="0.2"/>
    <row r="322" ht="14.1" hidden="1" customHeight="1" x14ac:dyDescent="0.2"/>
    <row r="323" ht="14.1" hidden="1" customHeight="1" x14ac:dyDescent="0.2"/>
    <row r="324" ht="14.1" hidden="1" customHeight="1" x14ac:dyDescent="0.2"/>
    <row r="325" ht="14.1" hidden="1" customHeight="1" x14ac:dyDescent="0.2"/>
    <row r="326" ht="14.1" hidden="1" customHeight="1" x14ac:dyDescent="0.2"/>
    <row r="327" ht="14.1" hidden="1" customHeight="1" x14ac:dyDescent="0.2"/>
    <row r="328" ht="14.1" hidden="1" customHeight="1" x14ac:dyDescent="0.2"/>
    <row r="329" ht="14.1" hidden="1" customHeight="1" x14ac:dyDescent="0.2"/>
    <row r="330" ht="14.1" hidden="1" customHeight="1" x14ac:dyDescent="0.2"/>
    <row r="331" ht="14.1" hidden="1" customHeight="1" x14ac:dyDescent="0.2"/>
    <row r="332" ht="14.1" hidden="1" customHeight="1" x14ac:dyDescent="0.2"/>
    <row r="333" ht="14.1" hidden="1" customHeight="1" x14ac:dyDescent="0.2"/>
    <row r="334" ht="14.1" hidden="1" customHeight="1" x14ac:dyDescent="0.2"/>
    <row r="335" ht="14.1" hidden="1" customHeight="1" x14ac:dyDescent="0.2"/>
    <row r="336" ht="14.1" hidden="1" customHeight="1" x14ac:dyDescent="0.2"/>
    <row r="337" ht="14.1" hidden="1" customHeight="1" x14ac:dyDescent="0.2"/>
    <row r="338" ht="14.1" hidden="1" customHeight="1" x14ac:dyDescent="0.2"/>
    <row r="339" ht="14.1" hidden="1" customHeight="1" x14ac:dyDescent="0.2"/>
    <row r="340" ht="14.1" hidden="1" customHeight="1" x14ac:dyDescent="0.2"/>
    <row r="341" ht="14.1" hidden="1" customHeight="1" x14ac:dyDescent="0.2"/>
    <row r="342" ht="14.1" hidden="1" customHeight="1" x14ac:dyDescent="0.2"/>
    <row r="343" ht="14.1" hidden="1" customHeight="1" x14ac:dyDescent="0.2"/>
    <row r="344" ht="14.1" hidden="1" customHeight="1" x14ac:dyDescent="0.2"/>
    <row r="345" ht="14.1" hidden="1" customHeight="1" x14ac:dyDescent="0.2"/>
    <row r="346" ht="14.1" hidden="1" customHeight="1" x14ac:dyDescent="0.2"/>
    <row r="347" ht="14.1" hidden="1" customHeight="1" x14ac:dyDescent="0.2"/>
    <row r="348" ht="14.1" hidden="1" customHeight="1" x14ac:dyDescent="0.2"/>
    <row r="349" ht="14.1" hidden="1" customHeight="1" x14ac:dyDescent="0.2"/>
    <row r="350" ht="14.1" hidden="1" customHeight="1" x14ac:dyDescent="0.2"/>
    <row r="351" ht="14.1" hidden="1" customHeight="1" x14ac:dyDescent="0.2"/>
    <row r="352" ht="14.1" hidden="1" customHeight="1" x14ac:dyDescent="0.2"/>
    <row r="353" ht="14.1" hidden="1" customHeight="1" x14ac:dyDescent="0.2"/>
    <row r="354" ht="14.1" hidden="1" customHeight="1" x14ac:dyDescent="0.2"/>
    <row r="355" ht="14.1" hidden="1" customHeight="1" x14ac:dyDescent="0.2"/>
    <row r="356" ht="14.1" hidden="1" customHeight="1" x14ac:dyDescent="0.2"/>
    <row r="357" ht="14.1" hidden="1" customHeight="1" x14ac:dyDescent="0.2"/>
    <row r="358" ht="14.1" hidden="1" customHeight="1" x14ac:dyDescent="0.2"/>
    <row r="359" ht="14.1" hidden="1" customHeight="1" x14ac:dyDescent="0.2"/>
    <row r="360" ht="14.1" hidden="1" customHeight="1" x14ac:dyDescent="0.2"/>
    <row r="361" ht="14.1" hidden="1" customHeight="1" x14ac:dyDescent="0.2"/>
    <row r="362" ht="14.1" hidden="1" customHeight="1" x14ac:dyDescent="0.2"/>
    <row r="363" ht="14.1" hidden="1" customHeight="1" x14ac:dyDescent="0.2"/>
    <row r="364" ht="14.1" hidden="1" customHeight="1" x14ac:dyDescent="0.2"/>
    <row r="365" ht="14.1" hidden="1" customHeight="1" x14ac:dyDescent="0.2"/>
    <row r="366" ht="14.1" hidden="1" customHeight="1" x14ac:dyDescent="0.2"/>
    <row r="367" ht="14.1" hidden="1" customHeight="1" x14ac:dyDescent="0.2"/>
    <row r="368" ht="14.1" hidden="1" customHeight="1" x14ac:dyDescent="0.2"/>
    <row r="369" ht="14.1" hidden="1" customHeight="1" x14ac:dyDescent="0.2"/>
    <row r="370" ht="14.1" hidden="1" customHeight="1" x14ac:dyDescent="0.2"/>
    <row r="371" ht="14.1" hidden="1" customHeight="1" x14ac:dyDescent="0.2"/>
    <row r="372" ht="14.1" hidden="1" customHeight="1" x14ac:dyDescent="0.2"/>
    <row r="373" ht="14.1" hidden="1" customHeight="1" x14ac:dyDescent="0.2"/>
    <row r="374" ht="14.1" hidden="1" customHeight="1" x14ac:dyDescent="0.2"/>
    <row r="375" ht="14.1" hidden="1" customHeight="1" x14ac:dyDescent="0.2"/>
    <row r="376" ht="14.1" hidden="1" customHeight="1" x14ac:dyDescent="0.2"/>
    <row r="377" ht="14.1" hidden="1" customHeight="1" x14ac:dyDescent="0.2"/>
    <row r="378" ht="14.1" hidden="1" customHeight="1" x14ac:dyDescent="0.2"/>
    <row r="379" ht="14.1" hidden="1" customHeight="1" x14ac:dyDescent="0.2"/>
    <row r="380" ht="14.1" hidden="1" customHeight="1" x14ac:dyDescent="0.2"/>
    <row r="381" ht="14.1" hidden="1" customHeight="1" x14ac:dyDescent="0.2"/>
    <row r="382" ht="14.1" hidden="1" customHeight="1" x14ac:dyDescent="0.2"/>
    <row r="383" ht="14.1" hidden="1" customHeight="1" x14ac:dyDescent="0.2"/>
    <row r="384" ht="14.1" hidden="1" customHeight="1" x14ac:dyDescent="0.2"/>
    <row r="385" ht="14.1" hidden="1" customHeight="1" x14ac:dyDescent="0.2"/>
    <row r="386" ht="14.1" hidden="1" customHeight="1" x14ac:dyDescent="0.2"/>
    <row r="387" ht="14.1" hidden="1" customHeight="1" x14ac:dyDescent="0.2"/>
    <row r="388" ht="14.1" hidden="1" customHeight="1" x14ac:dyDescent="0.2"/>
    <row r="389" ht="14.1" hidden="1" customHeight="1" x14ac:dyDescent="0.2"/>
    <row r="390" ht="14.1" hidden="1" customHeight="1" x14ac:dyDescent="0.2"/>
    <row r="391" ht="14.1" hidden="1" customHeight="1" x14ac:dyDescent="0.2"/>
    <row r="392" ht="14.1" hidden="1" customHeight="1" x14ac:dyDescent="0.2"/>
    <row r="393" ht="14.1" hidden="1" customHeight="1" x14ac:dyDescent="0.2"/>
    <row r="394" ht="14.1" hidden="1" customHeight="1" x14ac:dyDescent="0.2"/>
    <row r="395" ht="14.1" hidden="1" customHeight="1" x14ac:dyDescent="0.2"/>
    <row r="396" ht="14.1" hidden="1" customHeight="1" x14ac:dyDescent="0.2"/>
    <row r="397" ht="14.1" hidden="1" customHeight="1" x14ac:dyDescent="0.2"/>
    <row r="398" ht="14.1" hidden="1" customHeight="1" x14ac:dyDescent="0.2"/>
    <row r="399" ht="14.1" hidden="1" customHeight="1" x14ac:dyDescent="0.2"/>
    <row r="400" ht="14.1" hidden="1" customHeight="1" x14ac:dyDescent="0.2"/>
    <row r="401" ht="14.1" hidden="1" customHeight="1" x14ac:dyDescent="0.2"/>
    <row r="402" ht="14.1" hidden="1" customHeight="1" x14ac:dyDescent="0.2"/>
    <row r="403" ht="14.1" hidden="1" customHeight="1" x14ac:dyDescent="0.2"/>
    <row r="404" ht="14.1" hidden="1" customHeight="1" x14ac:dyDescent="0.2"/>
    <row r="405" ht="14.1" hidden="1" customHeight="1" x14ac:dyDescent="0.2"/>
    <row r="406" ht="14.1" hidden="1" customHeight="1" x14ac:dyDescent="0.2"/>
    <row r="407" ht="14.1" hidden="1" customHeight="1" x14ac:dyDescent="0.2"/>
    <row r="408" ht="14.1" hidden="1" customHeight="1" x14ac:dyDescent="0.2"/>
    <row r="409" ht="14.1" hidden="1" customHeight="1" x14ac:dyDescent="0.2"/>
    <row r="410" ht="14.1" hidden="1" customHeight="1" x14ac:dyDescent="0.2"/>
    <row r="411" ht="14.1" hidden="1" customHeight="1" x14ac:dyDescent="0.2"/>
    <row r="412" ht="14.1" hidden="1" customHeight="1" x14ac:dyDescent="0.2"/>
    <row r="413" ht="14.1" hidden="1" customHeight="1" x14ac:dyDescent="0.2"/>
    <row r="414" ht="14.1" hidden="1" customHeight="1" x14ac:dyDescent="0.2"/>
    <row r="415" ht="14.1" hidden="1" customHeight="1" x14ac:dyDescent="0.2"/>
    <row r="416" ht="14.1" hidden="1" customHeight="1" x14ac:dyDescent="0.2"/>
    <row r="417" ht="14.1" hidden="1" customHeight="1" x14ac:dyDescent="0.2"/>
    <row r="418" ht="14.1" hidden="1" customHeight="1" x14ac:dyDescent="0.2"/>
    <row r="419" ht="14.1" hidden="1" customHeight="1" x14ac:dyDescent="0.2"/>
    <row r="420" ht="14.1" hidden="1" customHeight="1" x14ac:dyDescent="0.2"/>
    <row r="421" ht="14.1" hidden="1" customHeight="1" x14ac:dyDescent="0.2"/>
    <row r="422" ht="14.1" hidden="1" customHeight="1" x14ac:dyDescent="0.2"/>
    <row r="423" ht="14.1" hidden="1" customHeight="1" x14ac:dyDescent="0.2"/>
    <row r="424" ht="14.1" hidden="1" customHeight="1" x14ac:dyDescent="0.2"/>
    <row r="425" ht="14.1" hidden="1" customHeight="1" x14ac:dyDescent="0.2"/>
    <row r="426" ht="14.1" hidden="1" customHeight="1" x14ac:dyDescent="0.2"/>
    <row r="427" ht="14.1" hidden="1" customHeight="1" x14ac:dyDescent="0.2"/>
    <row r="428" ht="14.1" hidden="1" customHeight="1" x14ac:dyDescent="0.2"/>
    <row r="429" ht="14.1" hidden="1" customHeight="1" x14ac:dyDescent="0.2"/>
    <row r="430" ht="14.1" hidden="1" customHeight="1" x14ac:dyDescent="0.2"/>
    <row r="431" ht="14.1" hidden="1" customHeight="1" x14ac:dyDescent="0.2"/>
    <row r="432" ht="14.1" hidden="1" customHeight="1" x14ac:dyDescent="0.2"/>
    <row r="433" ht="14.1" hidden="1" customHeight="1" x14ac:dyDescent="0.2"/>
    <row r="434" ht="14.1" hidden="1" customHeight="1" x14ac:dyDescent="0.2"/>
    <row r="435" ht="14.1" hidden="1" customHeight="1" x14ac:dyDescent="0.2"/>
    <row r="436" ht="14.1" hidden="1" customHeight="1" x14ac:dyDescent="0.2"/>
    <row r="437" ht="14.1" hidden="1" customHeight="1" x14ac:dyDescent="0.2"/>
    <row r="438" ht="14.1" hidden="1" customHeight="1" x14ac:dyDescent="0.2"/>
    <row r="439" ht="14.1" hidden="1" customHeight="1" x14ac:dyDescent="0.2"/>
    <row r="440" ht="14.1" hidden="1" customHeight="1" x14ac:dyDescent="0.2"/>
    <row r="441" ht="14.1" hidden="1" customHeight="1" x14ac:dyDescent="0.2"/>
    <row r="442" ht="14.1" hidden="1" customHeight="1" x14ac:dyDescent="0.2"/>
    <row r="443" ht="14.1" hidden="1" customHeight="1" x14ac:dyDescent="0.2"/>
    <row r="444" ht="14.1" hidden="1" customHeight="1" x14ac:dyDescent="0.2"/>
    <row r="445" ht="14.1" hidden="1" customHeight="1" x14ac:dyDescent="0.2"/>
    <row r="446" ht="14.1" hidden="1" customHeight="1" x14ac:dyDescent="0.2"/>
    <row r="447" ht="14.1" hidden="1" customHeight="1" x14ac:dyDescent="0.2"/>
    <row r="448" ht="14.1" hidden="1" customHeight="1" x14ac:dyDescent="0.2"/>
    <row r="449" ht="14.1" hidden="1" customHeight="1" x14ac:dyDescent="0.2"/>
    <row r="450" ht="14.1" hidden="1" customHeight="1" x14ac:dyDescent="0.2"/>
    <row r="451" ht="14.1" hidden="1" customHeight="1" x14ac:dyDescent="0.2"/>
    <row r="452" ht="14.1" hidden="1" customHeight="1" x14ac:dyDescent="0.2"/>
    <row r="453" ht="14.1" hidden="1" customHeight="1" x14ac:dyDescent="0.2"/>
    <row r="454" ht="14.1" hidden="1" customHeight="1" x14ac:dyDescent="0.2"/>
    <row r="455" ht="14.1" hidden="1" customHeight="1" x14ac:dyDescent="0.2"/>
    <row r="456" ht="14.1" hidden="1" customHeight="1" x14ac:dyDescent="0.2"/>
    <row r="457" ht="14.1" hidden="1" customHeight="1" x14ac:dyDescent="0.2"/>
    <row r="458" ht="14.1" hidden="1" customHeight="1" x14ac:dyDescent="0.2"/>
    <row r="459" ht="14.1" hidden="1" customHeight="1" x14ac:dyDescent="0.2"/>
    <row r="460" ht="14.1" hidden="1" customHeight="1" x14ac:dyDescent="0.2"/>
    <row r="461" ht="14.1" hidden="1" customHeight="1" x14ac:dyDescent="0.2"/>
    <row r="462" ht="14.1" hidden="1" customHeight="1" x14ac:dyDescent="0.2"/>
    <row r="463" ht="14.1" hidden="1" customHeight="1" x14ac:dyDescent="0.2"/>
    <row r="464" ht="14.1" hidden="1" customHeight="1" x14ac:dyDescent="0.2"/>
    <row r="465" ht="14.1" hidden="1" customHeight="1" x14ac:dyDescent="0.2"/>
    <row r="466" ht="14.1" hidden="1" customHeight="1" x14ac:dyDescent="0.2"/>
    <row r="467" ht="14.1" hidden="1" customHeight="1" x14ac:dyDescent="0.2"/>
    <row r="468" ht="14.1" hidden="1" customHeight="1" x14ac:dyDescent="0.2"/>
    <row r="469" ht="14.1" hidden="1" customHeight="1" x14ac:dyDescent="0.2"/>
    <row r="470" ht="14.1" hidden="1" customHeight="1" x14ac:dyDescent="0.2"/>
    <row r="471" ht="14.1" hidden="1" customHeight="1" x14ac:dyDescent="0.2"/>
    <row r="472" ht="14.1" hidden="1" customHeight="1" x14ac:dyDescent="0.2"/>
    <row r="473" ht="14.1" hidden="1" customHeight="1" x14ac:dyDescent="0.2"/>
    <row r="474" ht="14.1" hidden="1" customHeight="1" x14ac:dyDescent="0.2"/>
    <row r="475" ht="14.1" hidden="1" customHeight="1" x14ac:dyDescent="0.2"/>
    <row r="476" ht="14.1" hidden="1" customHeight="1" x14ac:dyDescent="0.2"/>
    <row r="477" ht="14.1" hidden="1" customHeight="1" x14ac:dyDescent="0.2"/>
    <row r="478" ht="14.1" hidden="1" customHeight="1" x14ac:dyDescent="0.2"/>
    <row r="479" ht="14.1" hidden="1" customHeight="1" x14ac:dyDescent="0.2"/>
    <row r="480" ht="14.1" hidden="1" customHeight="1" x14ac:dyDescent="0.2"/>
    <row r="481" ht="14.1" hidden="1" customHeight="1" x14ac:dyDescent="0.2"/>
    <row r="482" ht="14.1" hidden="1" customHeight="1" x14ac:dyDescent="0.2"/>
    <row r="483" ht="14.1" hidden="1" customHeight="1" x14ac:dyDescent="0.2"/>
    <row r="484" ht="14.1" hidden="1" customHeight="1" x14ac:dyDescent="0.2"/>
    <row r="485" ht="14.1" hidden="1" customHeight="1" x14ac:dyDescent="0.2"/>
    <row r="486" ht="14.1" hidden="1" customHeight="1" x14ac:dyDescent="0.2"/>
    <row r="487" ht="14.1" hidden="1" customHeight="1" x14ac:dyDescent="0.2"/>
    <row r="488" ht="14.1" hidden="1" customHeight="1" x14ac:dyDescent="0.2"/>
    <row r="489" ht="14.1" hidden="1" customHeight="1" x14ac:dyDescent="0.2"/>
    <row r="490" ht="14.1" hidden="1" customHeight="1" x14ac:dyDescent="0.2"/>
    <row r="491" ht="14.1" hidden="1" customHeight="1" x14ac:dyDescent="0.2"/>
    <row r="492" ht="14.1" hidden="1" customHeight="1" x14ac:dyDescent="0.2"/>
    <row r="493" ht="14.1" hidden="1" customHeight="1" x14ac:dyDescent="0.2"/>
    <row r="494" ht="14.1" hidden="1" customHeight="1" x14ac:dyDescent="0.2"/>
    <row r="495" ht="14.1" hidden="1" customHeight="1" x14ac:dyDescent="0.2"/>
    <row r="496" ht="14.1" hidden="1" customHeight="1" x14ac:dyDescent="0.2"/>
    <row r="497" ht="14.1" hidden="1" customHeight="1" x14ac:dyDescent="0.2"/>
    <row r="498" ht="14.1" hidden="1" customHeight="1" x14ac:dyDescent="0.2"/>
    <row r="499" ht="14.1" hidden="1" customHeight="1" x14ac:dyDescent="0.2"/>
    <row r="500" ht="14.1" hidden="1" customHeight="1" x14ac:dyDescent="0.2"/>
    <row r="501" ht="14.1" hidden="1" customHeight="1" x14ac:dyDescent="0.2"/>
    <row r="502" ht="14.1" hidden="1" customHeight="1" x14ac:dyDescent="0.2"/>
    <row r="503" ht="14.1" hidden="1" customHeight="1" x14ac:dyDescent="0.2"/>
    <row r="504" ht="14.1" hidden="1" customHeight="1" x14ac:dyDescent="0.2"/>
    <row r="505" ht="14.1" hidden="1" customHeight="1" x14ac:dyDescent="0.2"/>
    <row r="506" ht="14.1" hidden="1" customHeight="1" x14ac:dyDescent="0.2"/>
    <row r="507" ht="14.1" hidden="1" customHeight="1" x14ac:dyDescent="0.2"/>
    <row r="508" ht="14.1" hidden="1" customHeight="1" x14ac:dyDescent="0.2"/>
    <row r="509" ht="14.1" hidden="1" customHeight="1" x14ac:dyDescent="0.2"/>
    <row r="510" ht="14.1" hidden="1" customHeight="1" x14ac:dyDescent="0.2"/>
    <row r="511" ht="14.1" hidden="1" customHeight="1" x14ac:dyDescent="0.2"/>
    <row r="512" ht="14.1" hidden="1" customHeight="1" x14ac:dyDescent="0.2"/>
    <row r="513" ht="14.1" hidden="1" customHeight="1" x14ac:dyDescent="0.2"/>
    <row r="514" ht="14.1" hidden="1" customHeight="1" x14ac:dyDescent="0.2"/>
    <row r="515" ht="14.1" hidden="1" customHeight="1" x14ac:dyDescent="0.2"/>
    <row r="516" ht="14.1" hidden="1" customHeight="1" x14ac:dyDescent="0.2"/>
    <row r="517" ht="14.1" hidden="1" customHeight="1" x14ac:dyDescent="0.2"/>
    <row r="518" ht="14.1" hidden="1" customHeight="1" x14ac:dyDescent="0.2"/>
    <row r="519" ht="14.1" hidden="1" customHeight="1" x14ac:dyDescent="0.2"/>
    <row r="520" ht="14.1" hidden="1" customHeight="1" x14ac:dyDescent="0.2"/>
    <row r="521" ht="14.1" hidden="1" customHeight="1" x14ac:dyDescent="0.2"/>
    <row r="522" ht="14.1" hidden="1" customHeight="1" x14ac:dyDescent="0.2"/>
    <row r="523" ht="14.1" hidden="1" customHeight="1" x14ac:dyDescent="0.2"/>
    <row r="524" ht="14.1" hidden="1" customHeight="1" x14ac:dyDescent="0.2"/>
    <row r="525" ht="14.1" hidden="1" customHeight="1" x14ac:dyDescent="0.2"/>
    <row r="526" ht="14.1" hidden="1" customHeight="1" x14ac:dyDescent="0.2"/>
    <row r="527" ht="14.1" hidden="1" customHeight="1" x14ac:dyDescent="0.2"/>
    <row r="528" ht="14.1" hidden="1" customHeight="1" x14ac:dyDescent="0.2"/>
    <row r="529" ht="14.1" hidden="1" customHeight="1" x14ac:dyDescent="0.2"/>
    <row r="530" ht="14.1" hidden="1" customHeight="1" x14ac:dyDescent="0.2"/>
    <row r="531" ht="14.1" hidden="1" customHeight="1" x14ac:dyDescent="0.2"/>
    <row r="532" ht="14.1" hidden="1" customHeight="1" x14ac:dyDescent="0.2"/>
    <row r="533" ht="14.1" hidden="1" customHeight="1" x14ac:dyDescent="0.2"/>
    <row r="534" ht="14.1" hidden="1" customHeight="1" x14ac:dyDescent="0.2"/>
    <row r="535" ht="14.1" hidden="1" customHeight="1" x14ac:dyDescent="0.2"/>
    <row r="536" ht="14.1" hidden="1" customHeight="1" x14ac:dyDescent="0.2"/>
    <row r="537" ht="14.1" hidden="1" customHeight="1" x14ac:dyDescent="0.2"/>
    <row r="538" ht="14.1" hidden="1" customHeight="1" x14ac:dyDescent="0.2"/>
    <row r="539" ht="14.1" hidden="1" customHeight="1" x14ac:dyDescent="0.2"/>
    <row r="540" ht="14.1" hidden="1" customHeight="1" x14ac:dyDescent="0.2"/>
    <row r="541" ht="14.1" hidden="1" customHeight="1" x14ac:dyDescent="0.2"/>
    <row r="542" ht="14.1" hidden="1" customHeight="1" x14ac:dyDescent="0.2"/>
    <row r="543" ht="14.1" hidden="1" customHeight="1" x14ac:dyDescent="0.2"/>
    <row r="544" ht="14.1" hidden="1" customHeight="1" x14ac:dyDescent="0.2"/>
    <row r="545" ht="14.1" hidden="1" customHeight="1" x14ac:dyDescent="0.2"/>
    <row r="546" ht="14.1" hidden="1" customHeight="1" x14ac:dyDescent="0.2"/>
    <row r="547" ht="14.1" hidden="1" customHeight="1" x14ac:dyDescent="0.2"/>
    <row r="548" ht="14.1" hidden="1" customHeight="1" x14ac:dyDescent="0.2"/>
    <row r="549" ht="14.1" hidden="1" customHeight="1" x14ac:dyDescent="0.2"/>
    <row r="550" ht="14.1" hidden="1" customHeight="1" x14ac:dyDescent="0.2"/>
    <row r="551" ht="14.1" hidden="1" customHeight="1" x14ac:dyDescent="0.2"/>
    <row r="552" ht="14.1" hidden="1" customHeight="1" x14ac:dyDescent="0.2"/>
    <row r="553" ht="14.1" hidden="1" customHeight="1" x14ac:dyDescent="0.2"/>
    <row r="554" ht="14.1" hidden="1" customHeight="1" x14ac:dyDescent="0.2"/>
    <row r="555" ht="14.1" hidden="1" customHeight="1" x14ac:dyDescent="0.2"/>
    <row r="556" ht="14.1" hidden="1" customHeight="1" x14ac:dyDescent="0.2"/>
    <row r="557" ht="14.1" hidden="1" customHeight="1" x14ac:dyDescent="0.2"/>
    <row r="558" ht="14.1" hidden="1" customHeight="1" x14ac:dyDescent="0.2"/>
    <row r="559" ht="14.1" hidden="1" customHeight="1" x14ac:dyDescent="0.2"/>
    <row r="560" ht="14.1" hidden="1" customHeight="1" x14ac:dyDescent="0.2"/>
    <row r="561" ht="14.1" hidden="1" customHeight="1" x14ac:dyDescent="0.2"/>
    <row r="562" ht="14.1" hidden="1" customHeight="1" x14ac:dyDescent="0.2"/>
    <row r="563" ht="14.1" hidden="1" customHeight="1" x14ac:dyDescent="0.2"/>
    <row r="564" ht="14.1" hidden="1" customHeight="1" x14ac:dyDescent="0.2"/>
    <row r="565" ht="14.1" hidden="1" customHeight="1" x14ac:dyDescent="0.2"/>
    <row r="566" ht="14.1" hidden="1" customHeight="1" x14ac:dyDescent="0.2"/>
    <row r="567" ht="14.1" hidden="1" customHeight="1" x14ac:dyDescent="0.2"/>
    <row r="568" ht="14.1" hidden="1" customHeight="1" x14ac:dyDescent="0.2"/>
    <row r="569" ht="14.1" hidden="1" customHeight="1" x14ac:dyDescent="0.2"/>
    <row r="570" ht="14.1" hidden="1" customHeight="1" x14ac:dyDescent="0.2"/>
    <row r="571" ht="14.1" hidden="1" customHeight="1" x14ac:dyDescent="0.2"/>
    <row r="572" ht="14.1" hidden="1" customHeight="1" x14ac:dyDescent="0.2"/>
    <row r="573" ht="14.1" hidden="1" customHeight="1" x14ac:dyDescent="0.2"/>
    <row r="574" ht="14.1" hidden="1" customHeight="1" x14ac:dyDescent="0.2"/>
    <row r="575" ht="14.1" hidden="1" customHeight="1" x14ac:dyDescent="0.2"/>
    <row r="576" ht="14.1" hidden="1" customHeight="1" x14ac:dyDescent="0.2"/>
    <row r="577" ht="14.1" hidden="1" customHeight="1" x14ac:dyDescent="0.2"/>
    <row r="578" ht="14.1" hidden="1" customHeight="1" x14ac:dyDescent="0.2"/>
    <row r="579" ht="14.1" hidden="1" customHeight="1" x14ac:dyDescent="0.2"/>
    <row r="580" ht="14.1" hidden="1" customHeight="1" x14ac:dyDescent="0.2"/>
    <row r="581" ht="14.1" hidden="1" customHeight="1" x14ac:dyDescent="0.2"/>
    <row r="582" ht="14.1" hidden="1" customHeight="1" x14ac:dyDescent="0.2"/>
    <row r="583" ht="14.1" hidden="1" customHeight="1" x14ac:dyDescent="0.2"/>
    <row r="584" ht="14.1" hidden="1" customHeight="1" x14ac:dyDescent="0.2"/>
    <row r="585" ht="14.1" hidden="1" customHeight="1" x14ac:dyDescent="0.2"/>
    <row r="586" ht="14.1" hidden="1" customHeight="1" x14ac:dyDescent="0.2"/>
    <row r="587" ht="14.1" hidden="1" customHeight="1" x14ac:dyDescent="0.2"/>
    <row r="588" ht="14.1" hidden="1" customHeight="1" x14ac:dyDescent="0.2"/>
    <row r="589" ht="14.1" hidden="1" customHeight="1" x14ac:dyDescent="0.2"/>
    <row r="590" ht="14.1" hidden="1" customHeight="1" x14ac:dyDescent="0.2"/>
    <row r="591" ht="14.1" hidden="1" customHeight="1" x14ac:dyDescent="0.2"/>
    <row r="592" ht="14.1" hidden="1" customHeight="1" x14ac:dyDescent="0.2"/>
    <row r="593" ht="14.1" hidden="1" customHeight="1" x14ac:dyDescent="0.2"/>
    <row r="594" ht="14.1" hidden="1" customHeight="1" x14ac:dyDescent="0.2"/>
    <row r="595" ht="14.1" hidden="1" customHeight="1" x14ac:dyDescent="0.2"/>
    <row r="596" ht="14.1" hidden="1" customHeight="1" x14ac:dyDescent="0.2"/>
    <row r="597" ht="14.1" hidden="1" customHeight="1" x14ac:dyDescent="0.2"/>
    <row r="598" ht="14.1" hidden="1" customHeight="1" x14ac:dyDescent="0.2"/>
    <row r="599" ht="14.1" hidden="1" customHeight="1" x14ac:dyDescent="0.2"/>
    <row r="600" ht="14.1" hidden="1" customHeight="1" x14ac:dyDescent="0.2"/>
    <row r="601" ht="14.1" hidden="1" customHeight="1" x14ac:dyDescent="0.2"/>
    <row r="602" ht="14.1" hidden="1" customHeight="1" x14ac:dyDescent="0.2"/>
    <row r="603" ht="14.1" hidden="1" customHeight="1" x14ac:dyDescent="0.2"/>
    <row r="604" ht="14.1" hidden="1" customHeight="1" x14ac:dyDescent="0.2"/>
    <row r="605" ht="14.1" hidden="1" customHeight="1" x14ac:dyDescent="0.2"/>
    <row r="606" ht="14.1" hidden="1" customHeight="1" x14ac:dyDescent="0.2"/>
    <row r="607" ht="14.1" hidden="1" customHeight="1" x14ac:dyDescent="0.2"/>
    <row r="608" ht="14.1" hidden="1" customHeight="1" x14ac:dyDescent="0.2"/>
    <row r="609" ht="14.1" hidden="1" customHeight="1" x14ac:dyDescent="0.2"/>
    <row r="610" ht="14.1" hidden="1" customHeight="1" x14ac:dyDescent="0.2"/>
    <row r="611" ht="14.1" hidden="1" customHeight="1" x14ac:dyDescent="0.2"/>
    <row r="612" ht="14.1" hidden="1" customHeight="1" x14ac:dyDescent="0.2"/>
    <row r="613" ht="14.1" hidden="1" customHeight="1" x14ac:dyDescent="0.2"/>
    <row r="614" ht="14.1" hidden="1" customHeight="1" x14ac:dyDescent="0.2"/>
    <row r="615" ht="14.1" hidden="1" customHeight="1" x14ac:dyDescent="0.2"/>
    <row r="616" ht="14.1" hidden="1" customHeight="1" x14ac:dyDescent="0.2"/>
    <row r="617" ht="14.1" hidden="1" customHeight="1" x14ac:dyDescent="0.2"/>
    <row r="618" ht="14.1" hidden="1" customHeight="1" x14ac:dyDescent="0.2"/>
    <row r="619" ht="14.1" hidden="1" customHeight="1" x14ac:dyDescent="0.2"/>
    <row r="620" ht="14.1" hidden="1" customHeight="1" x14ac:dyDescent="0.2"/>
    <row r="621" ht="14.1" hidden="1" customHeight="1" x14ac:dyDescent="0.2"/>
    <row r="622" ht="14.1" hidden="1" customHeight="1" x14ac:dyDescent="0.2"/>
    <row r="623" ht="14.1" hidden="1" customHeight="1" x14ac:dyDescent="0.2"/>
    <row r="624" ht="14.1" hidden="1" customHeight="1" x14ac:dyDescent="0.2"/>
    <row r="625" ht="14.1" hidden="1" customHeight="1" x14ac:dyDescent="0.2"/>
    <row r="626" ht="14.1" hidden="1" customHeight="1" x14ac:dyDescent="0.2"/>
    <row r="627" ht="14.1" hidden="1" customHeight="1" x14ac:dyDescent="0.2"/>
    <row r="628" ht="14.1" hidden="1" customHeight="1" x14ac:dyDescent="0.2"/>
    <row r="629" ht="14.1" hidden="1" customHeight="1" x14ac:dyDescent="0.2"/>
    <row r="630" ht="14.1" hidden="1" customHeight="1" x14ac:dyDescent="0.2"/>
    <row r="631" ht="14.1" hidden="1" customHeight="1" x14ac:dyDescent="0.2"/>
    <row r="632" ht="14.1" hidden="1" customHeight="1" x14ac:dyDescent="0.2"/>
    <row r="633" ht="14.1" hidden="1" customHeight="1" x14ac:dyDescent="0.2"/>
    <row r="634" ht="14.1" hidden="1" customHeight="1" x14ac:dyDescent="0.2"/>
    <row r="635" ht="14.1" hidden="1" customHeight="1" x14ac:dyDescent="0.2"/>
    <row r="636" ht="14.1" hidden="1" customHeight="1" x14ac:dyDescent="0.2"/>
    <row r="637" ht="14.1" hidden="1" customHeight="1" x14ac:dyDescent="0.2"/>
    <row r="638" ht="14.1" hidden="1" customHeight="1" x14ac:dyDescent="0.2"/>
    <row r="639" ht="14.1" hidden="1" customHeight="1" x14ac:dyDescent="0.2"/>
    <row r="640" ht="14.1" hidden="1" customHeight="1" x14ac:dyDescent="0.2"/>
    <row r="641" ht="14.1" hidden="1" customHeight="1" x14ac:dyDescent="0.2"/>
    <row r="642" ht="14.1" hidden="1" customHeight="1" x14ac:dyDescent="0.2"/>
    <row r="643" ht="14.1" hidden="1" customHeight="1" x14ac:dyDescent="0.2"/>
    <row r="644" ht="14.1" hidden="1" customHeight="1" x14ac:dyDescent="0.2"/>
    <row r="645" ht="14.1" hidden="1" customHeight="1" x14ac:dyDescent="0.2"/>
    <row r="646" ht="14.1" hidden="1" customHeight="1" x14ac:dyDescent="0.2"/>
    <row r="647" ht="14.1" hidden="1" customHeight="1" x14ac:dyDescent="0.2"/>
    <row r="648" ht="14.1" hidden="1" customHeight="1" x14ac:dyDescent="0.2"/>
    <row r="649" ht="14.1" hidden="1" customHeight="1" x14ac:dyDescent="0.2"/>
    <row r="650" ht="14.1" hidden="1" customHeight="1" x14ac:dyDescent="0.2"/>
    <row r="651" ht="14.1" hidden="1" customHeight="1" x14ac:dyDescent="0.2"/>
    <row r="652" ht="14.1" hidden="1" customHeight="1" x14ac:dyDescent="0.2"/>
    <row r="653" ht="14.1" hidden="1" customHeight="1" x14ac:dyDescent="0.2"/>
    <row r="654" ht="14.1" hidden="1" customHeight="1" x14ac:dyDescent="0.2"/>
    <row r="655" ht="14.1" hidden="1" customHeight="1" x14ac:dyDescent="0.2"/>
    <row r="656" ht="14.1" hidden="1" customHeight="1" x14ac:dyDescent="0.2"/>
    <row r="657" ht="14.1" hidden="1" customHeight="1" x14ac:dyDescent="0.2"/>
    <row r="658" ht="14.1" hidden="1" customHeight="1" x14ac:dyDescent="0.2"/>
    <row r="659" ht="14.1" hidden="1" customHeight="1" x14ac:dyDescent="0.2"/>
    <row r="660" ht="14.1" hidden="1" customHeight="1" x14ac:dyDescent="0.2"/>
    <row r="661" ht="14.1" hidden="1" customHeight="1" x14ac:dyDescent="0.2"/>
    <row r="662" ht="14.1" hidden="1" customHeight="1" x14ac:dyDescent="0.2"/>
    <row r="663" ht="14.1" hidden="1" customHeight="1" x14ac:dyDescent="0.2"/>
    <row r="664" ht="14.1" hidden="1" customHeight="1" x14ac:dyDescent="0.2"/>
    <row r="665" ht="14.1" hidden="1" customHeight="1" x14ac:dyDescent="0.2"/>
    <row r="666" ht="14.1" hidden="1" customHeight="1" x14ac:dyDescent="0.2"/>
    <row r="667" ht="14.1" hidden="1" customHeight="1" x14ac:dyDescent="0.2"/>
    <row r="668" ht="14.1" hidden="1" customHeight="1" x14ac:dyDescent="0.2"/>
    <row r="669" ht="14.1" hidden="1" customHeight="1" x14ac:dyDescent="0.2"/>
    <row r="670" ht="14.1" hidden="1" customHeight="1" x14ac:dyDescent="0.2"/>
    <row r="671" ht="14.1" hidden="1" customHeight="1" x14ac:dyDescent="0.2"/>
    <row r="672" ht="14.1" hidden="1" customHeight="1" x14ac:dyDescent="0.2"/>
    <row r="673" ht="14.1" hidden="1" customHeight="1" x14ac:dyDescent="0.2"/>
    <row r="674" ht="14.1" hidden="1" customHeight="1" x14ac:dyDescent="0.2"/>
    <row r="675" ht="14.1" hidden="1" customHeight="1" x14ac:dyDescent="0.2"/>
    <row r="676" ht="14.1" hidden="1" customHeight="1" x14ac:dyDescent="0.2"/>
    <row r="677" ht="14.1" hidden="1" customHeight="1" x14ac:dyDescent="0.2"/>
    <row r="678" ht="14.1" hidden="1" customHeight="1" x14ac:dyDescent="0.2"/>
    <row r="679" ht="14.1" hidden="1" customHeight="1" x14ac:dyDescent="0.2"/>
    <row r="680" ht="14.1" hidden="1" customHeight="1" x14ac:dyDescent="0.2"/>
    <row r="681" ht="14.1" hidden="1" customHeight="1" x14ac:dyDescent="0.2"/>
    <row r="682" ht="14.1" hidden="1" customHeight="1" x14ac:dyDescent="0.2"/>
    <row r="683" ht="14.1" hidden="1" customHeight="1" x14ac:dyDescent="0.2"/>
    <row r="684" ht="14.1" hidden="1" customHeight="1" x14ac:dyDescent="0.2"/>
    <row r="685" ht="14.1" hidden="1" customHeight="1" x14ac:dyDescent="0.2"/>
    <row r="686" ht="14.1" hidden="1" customHeight="1" x14ac:dyDescent="0.2"/>
    <row r="687" ht="14.1" hidden="1" customHeight="1" x14ac:dyDescent="0.2"/>
    <row r="688" ht="14.1" hidden="1" customHeight="1" x14ac:dyDescent="0.2"/>
    <row r="689" ht="14.1" hidden="1" customHeight="1" x14ac:dyDescent="0.2"/>
    <row r="690" ht="14.1" hidden="1" customHeight="1" x14ac:dyDescent="0.2"/>
    <row r="691" ht="14.1" hidden="1" customHeight="1" x14ac:dyDescent="0.2"/>
    <row r="692" ht="14.1" hidden="1" customHeight="1" x14ac:dyDescent="0.2"/>
    <row r="693" ht="14.1" hidden="1" customHeight="1" x14ac:dyDescent="0.2"/>
    <row r="694" ht="14.1" hidden="1" customHeight="1" x14ac:dyDescent="0.2"/>
    <row r="695" ht="14.1" hidden="1" customHeight="1" x14ac:dyDescent="0.2"/>
    <row r="696" ht="14.1" hidden="1" customHeight="1" x14ac:dyDescent="0.2"/>
    <row r="697" ht="14.1" hidden="1" customHeight="1" x14ac:dyDescent="0.2"/>
    <row r="698" ht="14.1" hidden="1" customHeight="1" x14ac:dyDescent="0.2"/>
    <row r="699" ht="14.1" hidden="1" customHeight="1" x14ac:dyDescent="0.2"/>
    <row r="700" ht="14.1" hidden="1" customHeight="1" x14ac:dyDescent="0.2"/>
    <row r="701" ht="14.1" hidden="1" customHeight="1" x14ac:dyDescent="0.2"/>
    <row r="702" ht="14.1" hidden="1" customHeight="1" x14ac:dyDescent="0.2"/>
    <row r="703" ht="14.1" hidden="1" customHeight="1" x14ac:dyDescent="0.2"/>
    <row r="704" ht="14.1" hidden="1" customHeight="1" x14ac:dyDescent="0.2"/>
    <row r="705" ht="14.1" hidden="1" customHeight="1" x14ac:dyDescent="0.2"/>
    <row r="706" ht="14.1" hidden="1" customHeight="1" x14ac:dyDescent="0.2"/>
    <row r="707" ht="14.1" hidden="1" customHeight="1" x14ac:dyDescent="0.2"/>
    <row r="708" ht="14.1" hidden="1" customHeight="1" x14ac:dyDescent="0.2"/>
    <row r="709" ht="14.1" hidden="1" customHeight="1" x14ac:dyDescent="0.2"/>
    <row r="710" ht="14.1" hidden="1" customHeight="1" x14ac:dyDescent="0.2"/>
    <row r="711" ht="14.1" hidden="1" customHeight="1" x14ac:dyDescent="0.2"/>
    <row r="712" ht="14.1" hidden="1" customHeight="1" x14ac:dyDescent="0.2"/>
    <row r="713" ht="14.1" hidden="1" customHeight="1" x14ac:dyDescent="0.2"/>
    <row r="714" ht="14.1" hidden="1" customHeight="1" x14ac:dyDescent="0.2"/>
    <row r="715" ht="14.1" hidden="1" customHeight="1" x14ac:dyDescent="0.2"/>
    <row r="716" ht="14.1" hidden="1" customHeight="1" x14ac:dyDescent="0.2"/>
    <row r="717" ht="14.1" hidden="1" customHeight="1" x14ac:dyDescent="0.2"/>
    <row r="718" ht="14.1" hidden="1" customHeight="1" x14ac:dyDescent="0.2"/>
    <row r="719" ht="14.1" hidden="1" customHeight="1" x14ac:dyDescent="0.2"/>
    <row r="720" ht="14.1" hidden="1" customHeight="1" x14ac:dyDescent="0.2"/>
    <row r="721" ht="14.1" hidden="1" customHeight="1" x14ac:dyDescent="0.2"/>
    <row r="722" ht="14.1" hidden="1" customHeight="1" x14ac:dyDescent="0.2"/>
    <row r="723" ht="14.1" hidden="1" customHeight="1" x14ac:dyDescent="0.2"/>
    <row r="724" ht="14.1" hidden="1" customHeight="1" x14ac:dyDescent="0.2"/>
    <row r="725" ht="14.1" hidden="1" customHeight="1" x14ac:dyDescent="0.2"/>
    <row r="726" ht="14.1" hidden="1" customHeight="1" x14ac:dyDescent="0.2"/>
    <row r="727" ht="14.1" hidden="1" customHeight="1" x14ac:dyDescent="0.2"/>
    <row r="728" ht="14.1" hidden="1" customHeight="1" x14ac:dyDescent="0.2"/>
    <row r="729" ht="14.1" hidden="1" customHeight="1" x14ac:dyDescent="0.2"/>
    <row r="730" ht="14.1" hidden="1" customHeight="1" x14ac:dyDescent="0.2"/>
    <row r="731" ht="14.1" hidden="1" customHeight="1" x14ac:dyDescent="0.2"/>
    <row r="732" ht="14.1" hidden="1" customHeight="1" x14ac:dyDescent="0.2"/>
    <row r="733" ht="14.1" hidden="1" customHeight="1" x14ac:dyDescent="0.2"/>
    <row r="734" ht="14.1" hidden="1" customHeight="1" x14ac:dyDescent="0.2"/>
    <row r="735" ht="14.1" hidden="1" customHeight="1" x14ac:dyDescent="0.2"/>
    <row r="736" ht="14.1" hidden="1" customHeight="1" x14ac:dyDescent="0.2"/>
    <row r="737" ht="14.1" hidden="1" customHeight="1" x14ac:dyDescent="0.2"/>
    <row r="738" ht="14.1" hidden="1" customHeight="1" x14ac:dyDescent="0.2"/>
    <row r="739" ht="14.1" hidden="1" customHeight="1" x14ac:dyDescent="0.2"/>
    <row r="740" ht="14.1" hidden="1" customHeight="1" x14ac:dyDescent="0.2"/>
    <row r="741" ht="14.1" hidden="1" customHeight="1" x14ac:dyDescent="0.2"/>
    <row r="742" ht="14.1" hidden="1" customHeight="1" x14ac:dyDescent="0.2"/>
    <row r="743" ht="14.1" hidden="1" customHeight="1" x14ac:dyDescent="0.2"/>
    <row r="744" ht="14.1" hidden="1" customHeight="1" x14ac:dyDescent="0.2"/>
    <row r="745" ht="14.1" hidden="1" customHeight="1" x14ac:dyDescent="0.2"/>
    <row r="746" ht="14.1" hidden="1" customHeight="1" x14ac:dyDescent="0.2"/>
    <row r="747" ht="14.1" hidden="1" customHeight="1" x14ac:dyDescent="0.2"/>
    <row r="748" ht="14.1" hidden="1" customHeight="1" x14ac:dyDescent="0.2"/>
    <row r="749" ht="14.1" hidden="1" customHeight="1" x14ac:dyDescent="0.2"/>
    <row r="750" ht="14.1" hidden="1" customHeight="1" x14ac:dyDescent="0.2"/>
    <row r="751" ht="14.1" hidden="1" customHeight="1" x14ac:dyDescent="0.2"/>
    <row r="752" ht="14.1" hidden="1" customHeight="1" x14ac:dyDescent="0.2"/>
    <row r="753" ht="14.1" hidden="1" customHeight="1" x14ac:dyDescent="0.2"/>
    <row r="754" ht="14.1" hidden="1" customHeight="1" x14ac:dyDescent="0.2"/>
    <row r="755" ht="14.1" hidden="1" customHeight="1" x14ac:dyDescent="0.2"/>
    <row r="756" ht="14.1" hidden="1" customHeight="1" x14ac:dyDescent="0.2"/>
    <row r="757" ht="14.1" hidden="1" customHeight="1" x14ac:dyDescent="0.2"/>
    <row r="758" ht="14.1" hidden="1" customHeight="1" x14ac:dyDescent="0.2"/>
    <row r="759" ht="14.1" hidden="1" customHeight="1" x14ac:dyDescent="0.2"/>
    <row r="760" ht="14.1" hidden="1" customHeight="1" x14ac:dyDescent="0.2"/>
    <row r="761" ht="14.1" hidden="1" customHeight="1" x14ac:dyDescent="0.2"/>
    <row r="762" ht="14.1" hidden="1" customHeight="1" x14ac:dyDescent="0.2"/>
    <row r="763" ht="14.1" hidden="1" customHeight="1" x14ac:dyDescent="0.2"/>
    <row r="764" ht="14.1" hidden="1" customHeight="1" x14ac:dyDescent="0.2"/>
    <row r="765" ht="14.1" hidden="1" customHeight="1" x14ac:dyDescent="0.2"/>
    <row r="766" ht="14.1" hidden="1" customHeight="1" x14ac:dyDescent="0.2"/>
    <row r="767" ht="14.1" hidden="1" customHeight="1" x14ac:dyDescent="0.2"/>
    <row r="768" ht="14.1" hidden="1" customHeight="1" x14ac:dyDescent="0.2"/>
    <row r="769" ht="14.1" hidden="1" customHeight="1" x14ac:dyDescent="0.2"/>
    <row r="770" ht="14.1" hidden="1" customHeight="1" x14ac:dyDescent="0.2"/>
    <row r="771" ht="14.1" hidden="1" customHeight="1" x14ac:dyDescent="0.2"/>
    <row r="772" ht="14.1" hidden="1" customHeight="1" x14ac:dyDescent="0.2"/>
    <row r="773" ht="14.1" hidden="1" customHeight="1" x14ac:dyDescent="0.2"/>
    <row r="774" ht="14.1" hidden="1" customHeight="1" x14ac:dyDescent="0.2"/>
    <row r="775" ht="14.1" hidden="1" customHeight="1" x14ac:dyDescent="0.2"/>
    <row r="776" ht="14.1" hidden="1" customHeight="1" x14ac:dyDescent="0.2"/>
    <row r="777" ht="14.1" hidden="1" customHeight="1" x14ac:dyDescent="0.2"/>
    <row r="778" ht="14.1" hidden="1" customHeight="1" x14ac:dyDescent="0.2"/>
    <row r="779" ht="14.1" hidden="1" customHeight="1" x14ac:dyDescent="0.2"/>
    <row r="780" ht="14.1" hidden="1" customHeight="1" x14ac:dyDescent="0.2"/>
    <row r="781" ht="14.1" hidden="1" customHeight="1" x14ac:dyDescent="0.2"/>
    <row r="782" ht="14.1" hidden="1" customHeight="1" x14ac:dyDescent="0.2"/>
    <row r="783" ht="14.1" hidden="1" customHeight="1" x14ac:dyDescent="0.2"/>
    <row r="784" ht="14.1" hidden="1" customHeight="1" x14ac:dyDescent="0.2"/>
    <row r="785" ht="14.1" hidden="1" customHeight="1" x14ac:dyDescent="0.2"/>
    <row r="786" ht="14.1" hidden="1" customHeight="1" x14ac:dyDescent="0.2"/>
    <row r="787" ht="14.1" hidden="1" customHeight="1" x14ac:dyDescent="0.2"/>
    <row r="788" ht="14.1" hidden="1" customHeight="1" x14ac:dyDescent="0.2"/>
    <row r="789" ht="14.1" hidden="1" customHeight="1" x14ac:dyDescent="0.2"/>
    <row r="790" ht="14.1" hidden="1" customHeight="1" x14ac:dyDescent="0.2"/>
    <row r="791" ht="14.1" hidden="1" customHeight="1" x14ac:dyDescent="0.2"/>
    <row r="792" ht="14.1" hidden="1" customHeight="1" x14ac:dyDescent="0.2"/>
    <row r="793" ht="14.1" hidden="1" customHeight="1" x14ac:dyDescent="0.2"/>
    <row r="794" ht="14.1" hidden="1" customHeight="1" x14ac:dyDescent="0.2"/>
    <row r="795" ht="14.1" hidden="1" customHeight="1" x14ac:dyDescent="0.2"/>
    <row r="796" ht="14.1" hidden="1" customHeight="1" x14ac:dyDescent="0.2"/>
    <row r="797" ht="14.1" hidden="1" customHeight="1" x14ac:dyDescent="0.2"/>
    <row r="798" ht="14.1" hidden="1" customHeight="1" x14ac:dyDescent="0.2"/>
    <row r="799" ht="14.1" hidden="1" customHeight="1" x14ac:dyDescent="0.2"/>
    <row r="800" ht="14.1" hidden="1" customHeight="1" x14ac:dyDescent="0.2"/>
    <row r="801" ht="14.1" hidden="1" customHeight="1" x14ac:dyDescent="0.2"/>
    <row r="802" ht="14.1" hidden="1" customHeight="1" x14ac:dyDescent="0.2"/>
    <row r="803" ht="14.1" hidden="1" customHeight="1" x14ac:dyDescent="0.2"/>
    <row r="804" ht="14.1" hidden="1" customHeight="1" x14ac:dyDescent="0.2"/>
    <row r="805" ht="14.1" hidden="1" customHeight="1" x14ac:dyDescent="0.2"/>
    <row r="806" ht="14.1" hidden="1" customHeight="1" x14ac:dyDescent="0.2"/>
    <row r="807" ht="14.1" hidden="1" customHeight="1" x14ac:dyDescent="0.2"/>
    <row r="808" ht="14.1" hidden="1" customHeight="1" x14ac:dyDescent="0.2"/>
    <row r="809" ht="14.1" hidden="1" customHeight="1" x14ac:dyDescent="0.2"/>
    <row r="810" ht="14.1" hidden="1" customHeight="1" x14ac:dyDescent="0.2"/>
    <row r="811" ht="14.1" hidden="1" customHeight="1" x14ac:dyDescent="0.2"/>
    <row r="812" ht="14.1" hidden="1" customHeight="1" x14ac:dyDescent="0.2"/>
    <row r="813" ht="14.1" hidden="1" customHeight="1" x14ac:dyDescent="0.2"/>
    <row r="814" ht="14.1" hidden="1" customHeight="1" x14ac:dyDescent="0.2"/>
    <row r="815" ht="14.1" hidden="1" customHeight="1" x14ac:dyDescent="0.2"/>
    <row r="816" ht="14.1" hidden="1" customHeight="1" x14ac:dyDescent="0.2"/>
    <row r="817" ht="14.1" hidden="1" customHeight="1" x14ac:dyDescent="0.2"/>
    <row r="818" ht="14.1" hidden="1" customHeight="1" x14ac:dyDescent="0.2"/>
    <row r="819" ht="14.1" hidden="1" customHeight="1" x14ac:dyDescent="0.2"/>
    <row r="820" ht="14.1" hidden="1" customHeight="1" x14ac:dyDescent="0.2"/>
    <row r="821" ht="14.1" hidden="1" customHeight="1" x14ac:dyDescent="0.2"/>
    <row r="822" ht="14.1" hidden="1" customHeight="1" x14ac:dyDescent="0.2"/>
    <row r="823" ht="14.1" hidden="1" customHeight="1" x14ac:dyDescent="0.2"/>
    <row r="824" ht="14.1" hidden="1" customHeight="1" x14ac:dyDescent="0.2"/>
    <row r="825" ht="14.1" hidden="1" customHeight="1" x14ac:dyDescent="0.2"/>
    <row r="826" ht="14.1" hidden="1" customHeight="1" x14ac:dyDescent="0.2"/>
    <row r="827" ht="14.1" hidden="1" customHeight="1" x14ac:dyDescent="0.2"/>
    <row r="828" ht="14.1" hidden="1" customHeight="1" x14ac:dyDescent="0.2"/>
    <row r="829" ht="14.1" hidden="1" customHeight="1" x14ac:dyDescent="0.2"/>
    <row r="830" ht="14.1" hidden="1" customHeight="1" x14ac:dyDescent="0.2"/>
    <row r="831" ht="14.1" hidden="1" customHeight="1" x14ac:dyDescent="0.2"/>
    <row r="832" ht="14.1" hidden="1" customHeight="1" x14ac:dyDescent="0.2"/>
    <row r="833" ht="14.1" hidden="1" customHeight="1" x14ac:dyDescent="0.2"/>
    <row r="834" ht="14.1" hidden="1" customHeight="1" x14ac:dyDescent="0.2"/>
    <row r="835" ht="14.1" hidden="1" customHeight="1" x14ac:dyDescent="0.2"/>
    <row r="836" ht="14.1" hidden="1" customHeight="1" x14ac:dyDescent="0.2"/>
    <row r="837" ht="14.1" hidden="1" customHeight="1" x14ac:dyDescent="0.2"/>
    <row r="838" ht="14.1" hidden="1" customHeight="1" x14ac:dyDescent="0.2"/>
    <row r="839" ht="14.1" hidden="1" customHeight="1" x14ac:dyDescent="0.2"/>
    <row r="840" ht="14.1" hidden="1" customHeight="1" x14ac:dyDescent="0.2"/>
    <row r="841" ht="14.1" hidden="1" customHeight="1" x14ac:dyDescent="0.2"/>
    <row r="842" ht="14.1" hidden="1" customHeight="1" x14ac:dyDescent="0.2"/>
    <row r="843" ht="14.1" hidden="1" customHeight="1" x14ac:dyDescent="0.2"/>
    <row r="844" ht="14.1" hidden="1" customHeight="1" x14ac:dyDescent="0.2"/>
    <row r="845" ht="14.1" hidden="1" customHeight="1" x14ac:dyDescent="0.2"/>
    <row r="846" ht="14.1" hidden="1" customHeight="1" x14ac:dyDescent="0.2"/>
    <row r="847" ht="14.1" hidden="1" customHeight="1" x14ac:dyDescent="0.2"/>
    <row r="848" ht="14.1" hidden="1" customHeight="1" x14ac:dyDescent="0.2"/>
    <row r="849" ht="14.1" hidden="1" customHeight="1" x14ac:dyDescent="0.2"/>
    <row r="850" ht="14.1" hidden="1" customHeight="1" x14ac:dyDescent="0.2"/>
    <row r="851" ht="14.1" hidden="1" customHeight="1" x14ac:dyDescent="0.2"/>
    <row r="852" ht="14.1" hidden="1" customHeight="1" x14ac:dyDescent="0.2"/>
    <row r="853" ht="14.1" hidden="1" customHeight="1" x14ac:dyDescent="0.2"/>
    <row r="854" ht="14.1" hidden="1" customHeight="1" x14ac:dyDescent="0.2"/>
    <row r="855" ht="14.1" hidden="1" customHeight="1" x14ac:dyDescent="0.2"/>
    <row r="856" ht="14.1" hidden="1" customHeight="1" x14ac:dyDescent="0.2"/>
    <row r="857" ht="14.1" hidden="1" customHeight="1" x14ac:dyDescent="0.2"/>
    <row r="858" ht="14.1" hidden="1" customHeight="1" x14ac:dyDescent="0.2"/>
    <row r="859" ht="14.1" hidden="1" customHeight="1" x14ac:dyDescent="0.2"/>
    <row r="860" ht="14.1" hidden="1" customHeight="1" x14ac:dyDescent="0.2"/>
    <row r="861" ht="14.1" hidden="1" customHeight="1" x14ac:dyDescent="0.2"/>
    <row r="862" ht="14.1" hidden="1" customHeight="1" x14ac:dyDescent="0.2"/>
    <row r="863" ht="14.1" hidden="1" customHeight="1" x14ac:dyDescent="0.2"/>
    <row r="864" ht="14.1" hidden="1" customHeight="1" x14ac:dyDescent="0.2"/>
    <row r="865" ht="14.1" hidden="1" customHeight="1" x14ac:dyDescent="0.2"/>
    <row r="866" ht="14.1" hidden="1" customHeight="1" x14ac:dyDescent="0.2"/>
    <row r="867" ht="14.1" hidden="1" customHeight="1" x14ac:dyDescent="0.2"/>
    <row r="868" ht="14.1" hidden="1" customHeight="1" x14ac:dyDescent="0.2"/>
    <row r="869" ht="14.1" hidden="1" customHeight="1" x14ac:dyDescent="0.2"/>
    <row r="870" ht="14.1" hidden="1" customHeight="1" x14ac:dyDescent="0.2"/>
    <row r="871" ht="14.1" hidden="1" customHeight="1" x14ac:dyDescent="0.2"/>
    <row r="872" ht="14.1" hidden="1" customHeight="1" x14ac:dyDescent="0.2"/>
    <row r="873" ht="14.1" hidden="1" customHeight="1" x14ac:dyDescent="0.2"/>
    <row r="874" ht="14.1" hidden="1" customHeight="1" x14ac:dyDescent="0.2"/>
    <row r="875" ht="14.1" hidden="1" customHeight="1" x14ac:dyDescent="0.2"/>
    <row r="876" ht="14.1" hidden="1" customHeight="1" x14ac:dyDescent="0.2"/>
    <row r="877" ht="14.1" hidden="1" customHeight="1" x14ac:dyDescent="0.2"/>
    <row r="878" ht="14.1" hidden="1" customHeight="1" x14ac:dyDescent="0.2"/>
    <row r="879" ht="14.1" hidden="1" customHeight="1" x14ac:dyDescent="0.2"/>
    <row r="880" ht="14.1" hidden="1" customHeight="1" x14ac:dyDescent="0.2"/>
    <row r="881" ht="14.1" hidden="1" customHeight="1" x14ac:dyDescent="0.2"/>
    <row r="882" ht="14.1" hidden="1" customHeight="1" x14ac:dyDescent="0.2"/>
    <row r="883" ht="14.1" hidden="1" customHeight="1" x14ac:dyDescent="0.2"/>
    <row r="884" ht="14.1" hidden="1" customHeight="1" x14ac:dyDescent="0.2"/>
    <row r="885" ht="14.1" hidden="1" customHeight="1" x14ac:dyDescent="0.2"/>
    <row r="886" ht="14.1" hidden="1" customHeight="1" x14ac:dyDescent="0.2"/>
    <row r="887" ht="14.1" hidden="1" customHeight="1" x14ac:dyDescent="0.2"/>
    <row r="888" ht="14.1" hidden="1" customHeight="1" x14ac:dyDescent="0.2"/>
    <row r="889" ht="14.1" hidden="1" customHeight="1" x14ac:dyDescent="0.2"/>
    <row r="890" ht="14.1" hidden="1" customHeight="1" x14ac:dyDescent="0.2"/>
    <row r="891" ht="14.1" hidden="1" customHeight="1" x14ac:dyDescent="0.2"/>
    <row r="892" ht="14.1" hidden="1" customHeight="1" x14ac:dyDescent="0.2"/>
    <row r="893" ht="14.1" hidden="1" customHeight="1" x14ac:dyDescent="0.2"/>
    <row r="894" ht="14.1" hidden="1" customHeight="1" x14ac:dyDescent="0.2"/>
    <row r="895" ht="14.1" hidden="1" customHeight="1" x14ac:dyDescent="0.2"/>
    <row r="896" ht="14.1" hidden="1" customHeight="1" x14ac:dyDescent="0.2"/>
    <row r="897" ht="14.1" hidden="1" customHeight="1" x14ac:dyDescent="0.2"/>
    <row r="898" ht="14.1" hidden="1" customHeight="1" x14ac:dyDescent="0.2"/>
    <row r="899" ht="14.1" hidden="1" customHeight="1" x14ac:dyDescent="0.2"/>
    <row r="900" ht="14.1" hidden="1" customHeight="1" x14ac:dyDescent="0.2"/>
    <row r="901" ht="14.1" hidden="1" customHeight="1" x14ac:dyDescent="0.2"/>
    <row r="902" ht="14.1" hidden="1" customHeight="1" x14ac:dyDescent="0.2"/>
    <row r="903" ht="14.1" hidden="1" customHeight="1" x14ac:dyDescent="0.2"/>
    <row r="904" ht="14.1" hidden="1" customHeight="1" x14ac:dyDescent="0.2"/>
    <row r="905" ht="14.1" hidden="1" customHeight="1" x14ac:dyDescent="0.2"/>
    <row r="906" ht="14.1" hidden="1" customHeight="1" x14ac:dyDescent="0.2"/>
    <row r="907" ht="14.1" hidden="1" customHeight="1" x14ac:dyDescent="0.2"/>
    <row r="908" ht="14.1" hidden="1" customHeight="1" x14ac:dyDescent="0.2"/>
    <row r="909" ht="14.1" hidden="1" customHeight="1" x14ac:dyDescent="0.2"/>
    <row r="910" ht="14.1" hidden="1" customHeight="1" x14ac:dyDescent="0.2"/>
    <row r="911" ht="14.1" hidden="1" customHeight="1" x14ac:dyDescent="0.2"/>
    <row r="912" ht="14.1" hidden="1" customHeight="1" x14ac:dyDescent="0.2"/>
    <row r="913" ht="14.1" hidden="1" customHeight="1" x14ac:dyDescent="0.2"/>
    <row r="914" ht="14.1" hidden="1" customHeight="1" x14ac:dyDescent="0.2"/>
    <row r="915" ht="14.1" hidden="1" customHeight="1" x14ac:dyDescent="0.2"/>
    <row r="916" ht="14.1" hidden="1" customHeight="1" x14ac:dyDescent="0.2"/>
    <row r="917" ht="14.1" hidden="1" customHeight="1" x14ac:dyDescent="0.2"/>
    <row r="918" ht="14.1" hidden="1" customHeight="1" x14ac:dyDescent="0.2"/>
    <row r="919" ht="14.1" hidden="1" customHeight="1" x14ac:dyDescent="0.2"/>
    <row r="920" ht="14.1" hidden="1" customHeight="1" x14ac:dyDescent="0.2"/>
    <row r="921" ht="14.1" hidden="1" customHeight="1" x14ac:dyDescent="0.2"/>
    <row r="922" ht="14.1" hidden="1" customHeight="1" x14ac:dyDescent="0.2"/>
    <row r="923" ht="14.1" hidden="1" customHeight="1" x14ac:dyDescent="0.2"/>
    <row r="924" ht="14.1" hidden="1" customHeight="1" x14ac:dyDescent="0.2"/>
    <row r="925" ht="14.1" hidden="1" customHeight="1" x14ac:dyDescent="0.2"/>
    <row r="926" ht="14.1" hidden="1" customHeight="1" x14ac:dyDescent="0.2"/>
    <row r="927" ht="14.1" hidden="1" customHeight="1" x14ac:dyDescent="0.2"/>
    <row r="928" ht="14.1" hidden="1" customHeight="1" x14ac:dyDescent="0.2"/>
    <row r="929" ht="14.1" hidden="1" customHeight="1" x14ac:dyDescent="0.2"/>
    <row r="930" ht="14.1" hidden="1" customHeight="1" x14ac:dyDescent="0.2"/>
    <row r="931" ht="14.1" hidden="1" customHeight="1" x14ac:dyDescent="0.2"/>
    <row r="932" ht="14.1" hidden="1" customHeight="1" x14ac:dyDescent="0.2"/>
    <row r="933" ht="14.1" hidden="1" customHeight="1" x14ac:dyDescent="0.2"/>
    <row r="934" ht="14.1" hidden="1" customHeight="1" x14ac:dyDescent="0.2"/>
    <row r="935" ht="14.1" hidden="1" customHeight="1" x14ac:dyDescent="0.2"/>
    <row r="936" ht="14.1" hidden="1" customHeight="1" x14ac:dyDescent="0.2"/>
    <row r="937" ht="14.1" hidden="1" customHeight="1" x14ac:dyDescent="0.2"/>
    <row r="938" ht="14.1" hidden="1" customHeight="1" x14ac:dyDescent="0.2"/>
    <row r="939" ht="14.1" hidden="1" customHeight="1" x14ac:dyDescent="0.2"/>
    <row r="940" ht="14.1" hidden="1" customHeight="1" x14ac:dyDescent="0.2"/>
    <row r="941" ht="14.1" hidden="1" customHeight="1" x14ac:dyDescent="0.2"/>
    <row r="942" ht="14.1" hidden="1" customHeight="1" x14ac:dyDescent="0.2"/>
    <row r="943" ht="14.1" hidden="1" customHeight="1" x14ac:dyDescent="0.2"/>
    <row r="944" ht="14.1" hidden="1" customHeight="1" x14ac:dyDescent="0.2"/>
    <row r="945" ht="14.1" hidden="1" customHeight="1" x14ac:dyDescent="0.2"/>
    <row r="946" ht="14.1" hidden="1" customHeight="1" x14ac:dyDescent="0.2"/>
    <row r="947" ht="14.1" hidden="1" customHeight="1" x14ac:dyDescent="0.2"/>
    <row r="948" ht="14.1" hidden="1" customHeight="1" x14ac:dyDescent="0.2"/>
    <row r="949" ht="14.1" hidden="1" customHeight="1" x14ac:dyDescent="0.2"/>
    <row r="950" ht="14.1" hidden="1" customHeight="1" x14ac:dyDescent="0.2"/>
    <row r="951" ht="14.1" hidden="1" customHeight="1" x14ac:dyDescent="0.2"/>
    <row r="952" ht="14.1" hidden="1" customHeight="1" x14ac:dyDescent="0.2"/>
    <row r="953" ht="14.1" hidden="1" customHeight="1" x14ac:dyDescent="0.2"/>
    <row r="954" ht="14.1" hidden="1" customHeight="1" x14ac:dyDescent="0.2"/>
    <row r="955" ht="14.1" hidden="1" customHeight="1" x14ac:dyDescent="0.2"/>
    <row r="956" ht="14.1" hidden="1" customHeight="1" x14ac:dyDescent="0.2"/>
    <row r="957" ht="14.1" hidden="1" customHeight="1" x14ac:dyDescent="0.2"/>
    <row r="958" ht="14.1" hidden="1" customHeight="1" x14ac:dyDescent="0.2"/>
    <row r="959" ht="14.1" hidden="1" customHeight="1" x14ac:dyDescent="0.2"/>
    <row r="960" ht="14.1" hidden="1" customHeight="1" x14ac:dyDescent="0.2"/>
    <row r="961" ht="14.1" hidden="1" customHeight="1" x14ac:dyDescent="0.2"/>
    <row r="962" ht="14.1" hidden="1" customHeight="1" x14ac:dyDescent="0.2"/>
    <row r="963" ht="14.1" hidden="1" customHeight="1" x14ac:dyDescent="0.2"/>
    <row r="964" ht="14.1" hidden="1" customHeight="1" x14ac:dyDescent="0.2"/>
    <row r="965" ht="14.1" hidden="1" customHeight="1" x14ac:dyDescent="0.2"/>
    <row r="966" ht="14.1" hidden="1" customHeight="1" x14ac:dyDescent="0.2"/>
    <row r="967" ht="14.1" hidden="1" customHeight="1" x14ac:dyDescent="0.2"/>
    <row r="968" ht="14.1" hidden="1" customHeight="1" x14ac:dyDescent="0.2"/>
    <row r="969" ht="14.1" hidden="1" customHeight="1" x14ac:dyDescent="0.2"/>
    <row r="970" ht="14.1" hidden="1" customHeight="1" x14ac:dyDescent="0.2"/>
    <row r="971" ht="14.1" hidden="1" customHeight="1" x14ac:dyDescent="0.2"/>
    <row r="972" ht="14.1" hidden="1" customHeight="1" x14ac:dyDescent="0.2"/>
    <row r="973" ht="14.1" hidden="1" customHeight="1" x14ac:dyDescent="0.2"/>
    <row r="974" ht="14.1" hidden="1" customHeight="1" x14ac:dyDescent="0.2"/>
    <row r="975" ht="14.1" hidden="1" customHeight="1" x14ac:dyDescent="0.2"/>
    <row r="976" ht="14.1" hidden="1" customHeight="1" x14ac:dyDescent="0.2"/>
  </sheetData>
  <sheetProtection algorithmName="SHA-512" hashValue="WwlsyZQFwOTTRX5gx11Ilvx9pT+FsjxABfrVYaVZDEQPPk6senmLBEJZKrZyf3KI7/CbO6cwd2GHyr2HBDsFRw==" saltValue="wwvUFbD0gp0j1jpiDHqo7Q==" spinCount="100000" sheet="1" objects="1" scenarios="1" selectLockedCells="1" autoFilter="0"/>
  <mergeCells count="9">
    <mergeCell ref="C92:I92"/>
    <mergeCell ref="B90:I90"/>
    <mergeCell ref="B80:H80"/>
    <mergeCell ref="B3:H3"/>
    <mergeCell ref="C6:H6"/>
    <mergeCell ref="C85:I85"/>
    <mergeCell ref="B84:I84"/>
    <mergeCell ref="B8:I8"/>
    <mergeCell ref="B32:F32"/>
  </mergeCells>
  <hyperlinks>
    <hyperlink ref="B86" r:id="rId1" location="annex_2_1/lvl_u1/lvl_2" xr:uid="{C594A062-A196-4382-AE05-8C0A45976783}"/>
  </hyperlinks>
  <pageMargins left="0.55118110236220474" right="0.51181102362204722" top="0.74803149606299213" bottom="0.70866141732283472" header="0.31496062992125984" footer="0.31496062992125984"/>
  <pageSetup paperSize="9" orientation="portrait" r:id="rId2"/>
  <headerFooter>
    <oddHeader xml:space="preserve">&amp;L&amp;8         Planungshilfe Nachweis wirtschaftliche Unverhältnismässigkeit&amp;R&amp;8Stadt Luzern </oddHeader>
    <oddFooter xml:space="preserve">&amp;L&amp;8         &amp;P | &amp;N&amp;R&amp;8Nächste Revision 12.12.2026 </oddFooter>
    <firstHeader>&amp;L         Planungshilfe Nachweis wirtschaftliche Unverhältnismässigkeit</firstHeader>
  </headerFooter>
  <rowBreaks count="2" manualBreakCount="2">
    <brk id="57" max="8" man="1"/>
    <brk id="89" max="16383" man="1"/>
  </rowBreaks>
  <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AB167"/>
  <sheetViews>
    <sheetView zoomScale="85" zoomScaleNormal="85" workbookViewId="0">
      <selection activeCell="T70" sqref="T70"/>
    </sheetView>
  </sheetViews>
  <sheetFormatPr baseColWidth="10" defaultRowHeight="12.75" x14ac:dyDescent="0.2"/>
  <cols>
    <col min="1" max="1" width="6.28515625" customWidth="1"/>
    <col min="2" max="2" width="32.7109375" customWidth="1"/>
    <col min="3" max="3" width="11.5703125" customWidth="1"/>
    <col min="4" max="4" width="15.5703125" customWidth="1"/>
    <col min="6" max="6" width="47.85546875" customWidth="1"/>
    <col min="7" max="9" width="10.28515625" customWidth="1"/>
    <col min="10" max="10" width="7.5703125" customWidth="1"/>
    <col min="11" max="11" width="14.5703125" style="79" customWidth="1"/>
    <col min="12" max="12" width="7.140625" style="79" customWidth="1"/>
    <col min="13" max="15" width="7.140625" customWidth="1"/>
    <col min="16" max="19" width="6.28515625" customWidth="1"/>
    <col min="20" max="20" width="15.85546875" customWidth="1"/>
    <col min="21" max="21" width="15.5703125" customWidth="1"/>
    <col min="22" max="22" width="15" customWidth="1"/>
  </cols>
  <sheetData>
    <row r="1" spans="1:22" ht="25.5" x14ac:dyDescent="0.35">
      <c r="A1" s="7" t="s">
        <v>114</v>
      </c>
      <c r="T1" s="79"/>
      <c r="U1" s="79"/>
    </row>
    <row r="2" spans="1:22" x14ac:dyDescent="0.2">
      <c r="T2" s="79"/>
      <c r="U2" s="79"/>
    </row>
    <row r="3" spans="1:22" x14ac:dyDescent="0.2">
      <c r="A3" t="s">
        <v>137</v>
      </c>
      <c r="D3" s="122" t="s">
        <v>556</v>
      </c>
      <c r="T3" s="79"/>
      <c r="U3" s="79"/>
    </row>
    <row r="4" spans="1:22" x14ac:dyDescent="0.2">
      <c r="T4" s="79"/>
      <c r="U4" s="79"/>
    </row>
    <row r="5" spans="1:22" s="1" customFormat="1" ht="63" customHeight="1" x14ac:dyDescent="0.2">
      <c r="A5" s="1" t="s">
        <v>123</v>
      </c>
      <c r="D5" s="726" t="str">
        <f>"PV-Anlagen / Nachweis wirtschaftliche Unverhältnismässigkeit
(Art. 77 Abs. 3 und 4 BZR)
Formular-Release "&amp;_Formularversion</f>
        <v>PV-Anlagen / Nachweis wirtschaftliche Unverhältnismässigkeit
(Art. 77 Abs. 3 und 4 BZR)
Formular-Release 4.2a</v>
      </c>
      <c r="E5" s="727"/>
      <c r="F5" s="727"/>
      <c r="K5" s="94"/>
      <c r="L5" s="94"/>
      <c r="T5" s="94"/>
      <c r="U5" s="94"/>
    </row>
    <row r="6" spans="1:22" x14ac:dyDescent="0.2">
      <c r="T6" s="79"/>
      <c r="U6" s="79"/>
    </row>
    <row r="7" spans="1:22" x14ac:dyDescent="0.2">
      <c r="A7" t="s">
        <v>148</v>
      </c>
      <c r="D7" s="109">
        <v>46328</v>
      </c>
      <c r="E7" t="s">
        <v>397</v>
      </c>
      <c r="T7" s="79"/>
      <c r="U7" s="79"/>
    </row>
    <row r="8" spans="1:22" x14ac:dyDescent="0.2">
      <c r="A8" t="s">
        <v>149</v>
      </c>
      <c r="D8" s="109">
        <v>46357</v>
      </c>
      <c r="E8" t="s">
        <v>182</v>
      </c>
      <c r="T8" s="79"/>
      <c r="U8" s="79"/>
    </row>
    <row r="9" spans="1:22" x14ac:dyDescent="0.2">
      <c r="T9" s="79"/>
      <c r="U9" s="79"/>
    </row>
    <row r="10" spans="1:22" x14ac:dyDescent="0.2">
      <c r="A10" t="s">
        <v>138</v>
      </c>
      <c r="T10" s="79"/>
      <c r="U10" s="79"/>
    </row>
    <row r="11" spans="1:22" x14ac:dyDescent="0.2">
      <c r="B11" s="40" t="s">
        <v>139</v>
      </c>
      <c r="C11" s="40"/>
      <c r="D11" s="40"/>
      <c r="E11" s="40"/>
      <c r="F11" s="40"/>
      <c r="T11" s="79"/>
      <c r="U11" s="79"/>
    </row>
    <row r="12" spans="1:22" x14ac:dyDescent="0.2">
      <c r="B12" t="s">
        <v>140</v>
      </c>
      <c r="T12" s="79"/>
      <c r="U12" s="79"/>
    </row>
    <row r="13" spans="1:22" x14ac:dyDescent="0.2">
      <c r="B13" s="43" t="s">
        <v>141</v>
      </c>
      <c r="C13" s="43"/>
      <c r="D13" s="43"/>
      <c r="E13" s="43"/>
      <c r="F13" s="43"/>
      <c r="T13" s="79"/>
      <c r="U13" s="79"/>
    </row>
    <row r="14" spans="1:22" x14ac:dyDescent="0.2">
      <c r="T14" s="79"/>
      <c r="U14" s="79"/>
    </row>
    <row r="15" spans="1:22" ht="47.25" x14ac:dyDescent="0.25">
      <c r="A15" s="77"/>
      <c r="B15" s="77" t="s">
        <v>165</v>
      </c>
      <c r="C15" s="77" t="s">
        <v>136</v>
      </c>
      <c r="D15" s="77" t="s">
        <v>115</v>
      </c>
      <c r="E15" s="77" t="s">
        <v>104</v>
      </c>
      <c r="F15" s="77" t="s">
        <v>116</v>
      </c>
      <c r="G15" s="77"/>
      <c r="H15" s="77"/>
      <c r="I15" s="77"/>
      <c r="J15" s="77"/>
      <c r="T15" s="80" t="s">
        <v>163</v>
      </c>
      <c r="U15" s="80" t="s">
        <v>168</v>
      </c>
      <c r="V15" s="78" t="s">
        <v>164</v>
      </c>
    </row>
    <row r="16" spans="1:22" x14ac:dyDescent="0.2">
      <c r="A16" t="s">
        <v>106</v>
      </c>
      <c r="T16" s="79"/>
      <c r="U16" s="79"/>
    </row>
    <row r="17" spans="1:22" x14ac:dyDescent="0.2">
      <c r="B17" t="s">
        <v>144</v>
      </c>
      <c r="D17" s="108">
        <v>1100</v>
      </c>
      <c r="E17" t="s">
        <v>103</v>
      </c>
      <c r="F17" s="108" t="s">
        <v>117</v>
      </c>
      <c r="T17" s="111">
        <v>45233</v>
      </c>
      <c r="U17" s="111" t="s">
        <v>169</v>
      </c>
      <c r="V17" s="108" t="s">
        <v>181</v>
      </c>
    </row>
    <row r="18" spans="1:22" x14ac:dyDescent="0.2">
      <c r="B18" t="s">
        <v>122</v>
      </c>
      <c r="D18" s="108">
        <v>45</v>
      </c>
      <c r="E18" t="s">
        <v>46</v>
      </c>
      <c r="F18" s="110" t="s">
        <v>142</v>
      </c>
      <c r="T18" s="111">
        <v>45233</v>
      </c>
      <c r="U18" s="111" t="s">
        <v>169</v>
      </c>
      <c r="V18" s="108" t="s">
        <v>166</v>
      </c>
    </row>
    <row r="19" spans="1:22" x14ac:dyDescent="0.2">
      <c r="T19" s="79"/>
      <c r="U19" s="79"/>
    </row>
    <row r="20" spans="1:22" x14ac:dyDescent="0.2">
      <c r="A20" s="15" t="s">
        <v>150</v>
      </c>
      <c r="B20" s="15"/>
      <c r="C20" s="15"/>
      <c r="D20" s="15"/>
      <c r="E20" s="15"/>
      <c r="F20" s="15"/>
      <c r="G20" s="15"/>
      <c r="H20" s="15"/>
      <c r="I20" s="15"/>
      <c r="J20" s="15"/>
      <c r="K20" s="141"/>
      <c r="L20" s="141"/>
      <c r="M20" s="15"/>
      <c r="N20" s="15"/>
      <c r="O20" s="15"/>
      <c r="P20" s="15"/>
      <c r="Q20" s="15"/>
      <c r="R20" s="15"/>
      <c r="S20" s="15"/>
      <c r="T20" s="141"/>
      <c r="U20" s="141"/>
      <c r="V20" s="15"/>
    </row>
    <row r="21" spans="1:22" x14ac:dyDescent="0.2">
      <c r="B21" t="s">
        <v>151</v>
      </c>
      <c r="D21" s="730" t="s">
        <v>400</v>
      </c>
      <c r="E21" s="730"/>
      <c r="F21" t="s">
        <v>154</v>
      </c>
      <c r="T21" s="131">
        <v>46240</v>
      </c>
      <c r="U21" s="111" t="s">
        <v>170</v>
      </c>
      <c r="V21" s="108" t="s">
        <v>180</v>
      </c>
    </row>
    <row r="22" spans="1:22" x14ac:dyDescent="0.2">
      <c r="B22" t="s">
        <v>41</v>
      </c>
      <c r="D22" s="108">
        <v>475</v>
      </c>
      <c r="E22" t="s">
        <v>50</v>
      </c>
      <c r="T22" s="79"/>
      <c r="U22" s="79"/>
    </row>
    <row r="23" spans="1:22" x14ac:dyDescent="0.2">
      <c r="B23" t="s">
        <v>241</v>
      </c>
      <c r="D23" s="108">
        <v>88.85</v>
      </c>
      <c r="E23" t="s">
        <v>5</v>
      </c>
      <c r="F23" t="s">
        <v>228</v>
      </c>
      <c r="G23" s="108">
        <v>30</v>
      </c>
      <c r="H23" t="s">
        <v>38</v>
      </c>
      <c r="T23" s="79"/>
      <c r="U23" s="79"/>
    </row>
    <row r="24" spans="1:22" x14ac:dyDescent="0.2">
      <c r="B24" t="s">
        <v>242</v>
      </c>
      <c r="D24" s="2">
        <f>100-((100-D23)/G23*25)</f>
        <v>90.708333333333329</v>
      </c>
      <c r="E24" t="s">
        <v>229</v>
      </c>
      <c r="T24" s="79"/>
      <c r="U24" s="79"/>
    </row>
    <row r="25" spans="1:22" x14ac:dyDescent="0.2">
      <c r="B25" t="s">
        <v>47</v>
      </c>
      <c r="D25" s="116">
        <v>1.762</v>
      </c>
      <c r="E25" t="s">
        <v>51</v>
      </c>
      <c r="T25" s="79"/>
      <c r="U25" s="79"/>
    </row>
    <row r="26" spans="1:22" x14ac:dyDescent="0.2">
      <c r="B26" t="s">
        <v>48</v>
      </c>
      <c r="D26" s="116">
        <v>1.1339999999999999</v>
      </c>
      <c r="E26" t="s">
        <v>51</v>
      </c>
      <c r="T26" s="79"/>
      <c r="U26" s="79"/>
    </row>
    <row r="27" spans="1:22" x14ac:dyDescent="0.2">
      <c r="B27" t="s">
        <v>227</v>
      </c>
      <c r="D27" s="108">
        <v>75.05</v>
      </c>
      <c r="E27" t="s">
        <v>153</v>
      </c>
      <c r="T27" s="79"/>
      <c r="U27" s="79"/>
    </row>
    <row r="28" spans="1:22" x14ac:dyDescent="0.2">
      <c r="B28" t="s">
        <v>152</v>
      </c>
      <c r="D28" s="2">
        <f>D27*1.2</f>
        <v>90.059999999999988</v>
      </c>
      <c r="E28" t="s">
        <v>153</v>
      </c>
      <c r="T28" s="79"/>
      <c r="U28" s="79"/>
    </row>
    <row r="29" spans="1:22" x14ac:dyDescent="0.2">
      <c r="A29" s="15" t="s">
        <v>235</v>
      </c>
      <c r="B29" s="15"/>
      <c r="C29" s="15"/>
      <c r="D29" s="15"/>
      <c r="E29" s="15"/>
      <c r="F29" s="15"/>
      <c r="G29" s="15"/>
      <c r="H29" s="15"/>
      <c r="I29" s="15"/>
      <c r="J29" s="15"/>
      <c r="K29" s="141"/>
      <c r="L29" s="141"/>
      <c r="M29" s="15"/>
      <c r="N29" s="15"/>
      <c r="O29" s="15"/>
      <c r="P29" s="15"/>
      <c r="Q29" s="15"/>
      <c r="R29" s="15"/>
      <c r="S29" s="15"/>
      <c r="T29" s="141"/>
      <c r="U29" s="141"/>
      <c r="V29" s="15"/>
    </row>
    <row r="30" spans="1:22" ht="15" customHeight="1" x14ac:dyDescent="0.2">
      <c r="B30" t="s">
        <v>236</v>
      </c>
      <c r="D30" s="730" t="s">
        <v>263</v>
      </c>
      <c r="E30" s="730"/>
      <c r="F30" t="s">
        <v>154</v>
      </c>
      <c r="T30" s="131">
        <v>46240</v>
      </c>
      <c r="U30" s="111" t="s">
        <v>170</v>
      </c>
      <c r="V30" s="108" t="s">
        <v>180</v>
      </c>
    </row>
    <row r="31" spans="1:22" x14ac:dyDescent="0.2">
      <c r="B31" t="s">
        <v>237</v>
      </c>
      <c r="D31" s="108">
        <v>455</v>
      </c>
      <c r="E31" t="s">
        <v>50</v>
      </c>
      <c r="T31" s="79"/>
      <c r="U31" s="79"/>
    </row>
    <row r="32" spans="1:22" x14ac:dyDescent="0.2">
      <c r="B32" t="s">
        <v>240</v>
      </c>
      <c r="D32" s="108">
        <v>90</v>
      </c>
      <c r="E32" t="s">
        <v>5</v>
      </c>
      <c r="F32" t="s">
        <v>228</v>
      </c>
      <c r="G32" s="108">
        <v>30</v>
      </c>
      <c r="H32" t="s">
        <v>38</v>
      </c>
      <c r="T32" s="79"/>
      <c r="U32" s="79"/>
    </row>
    <row r="33" spans="1:22" x14ac:dyDescent="0.2">
      <c r="B33" t="s">
        <v>243</v>
      </c>
      <c r="D33" s="2">
        <f>100-((100-D32)/G32*25)</f>
        <v>91.666666666666671</v>
      </c>
      <c r="E33" t="s">
        <v>229</v>
      </c>
      <c r="T33" s="79"/>
      <c r="U33" s="79"/>
    </row>
    <row r="34" spans="1:22" x14ac:dyDescent="0.2">
      <c r="B34" t="s">
        <v>238</v>
      </c>
      <c r="D34" s="116">
        <v>1.762</v>
      </c>
      <c r="E34" t="s">
        <v>51</v>
      </c>
      <c r="T34" s="79"/>
      <c r="U34" s="79"/>
    </row>
    <row r="35" spans="1:22" x14ac:dyDescent="0.2">
      <c r="B35" t="s">
        <v>233</v>
      </c>
      <c r="D35" s="116">
        <v>1.1339999999999999</v>
      </c>
      <c r="E35" t="s">
        <v>51</v>
      </c>
      <c r="T35" s="79"/>
      <c r="U35" s="79"/>
    </row>
    <row r="36" spans="1:22" x14ac:dyDescent="0.2">
      <c r="B36" t="s">
        <v>227</v>
      </c>
      <c r="D36" s="108">
        <v>155.9</v>
      </c>
      <c r="E36" t="s">
        <v>153</v>
      </c>
      <c r="T36" s="79"/>
      <c r="U36" s="79"/>
    </row>
    <row r="37" spans="1:22" x14ac:dyDescent="0.2">
      <c r="B37" t="s">
        <v>234</v>
      </c>
      <c r="D37" s="2">
        <f>D36*1.2</f>
        <v>187.08</v>
      </c>
      <c r="E37" t="s">
        <v>153</v>
      </c>
      <c r="T37" s="79"/>
      <c r="U37" s="79"/>
    </row>
    <row r="38" spans="1:22" x14ac:dyDescent="0.2">
      <c r="B38" t="s">
        <v>239</v>
      </c>
      <c r="D38" s="4">
        <f>D37-D28</f>
        <v>97.020000000000024</v>
      </c>
      <c r="E38" t="s">
        <v>111</v>
      </c>
      <c r="T38" s="79"/>
      <c r="U38" s="79"/>
    </row>
    <row r="39" spans="1:22" x14ac:dyDescent="0.2">
      <c r="A39" s="15" t="s">
        <v>254</v>
      </c>
      <c r="B39" s="15"/>
      <c r="C39" s="15"/>
      <c r="D39" s="15"/>
      <c r="E39" s="15"/>
      <c r="F39" s="15"/>
      <c r="G39" s="15"/>
      <c r="H39" s="15"/>
      <c r="I39" s="15"/>
      <c r="J39" s="15"/>
      <c r="K39" s="141"/>
      <c r="L39" s="141"/>
      <c r="M39" s="15"/>
      <c r="N39" s="15"/>
      <c r="O39" s="15"/>
      <c r="P39" s="15"/>
      <c r="Q39" s="15"/>
      <c r="R39" s="15"/>
      <c r="S39" s="15"/>
      <c r="T39" s="247">
        <v>45233</v>
      </c>
      <c r="U39" s="247" t="s">
        <v>169</v>
      </c>
      <c r="V39" s="248" t="s">
        <v>181</v>
      </c>
    </row>
    <row r="40" spans="1:22" x14ac:dyDescent="0.2">
      <c r="B40" t="s">
        <v>49</v>
      </c>
      <c r="D40" s="146">
        <v>0.2</v>
      </c>
      <c r="E40" t="s">
        <v>51</v>
      </c>
      <c r="T40" s="79"/>
      <c r="U40" s="79"/>
    </row>
    <row r="41" spans="1:22" x14ac:dyDescent="0.2">
      <c r="B41" t="s">
        <v>68</v>
      </c>
      <c r="D41" s="146">
        <v>0.02</v>
      </c>
      <c r="E41" t="s">
        <v>51</v>
      </c>
      <c r="T41" s="79"/>
      <c r="U41" s="79"/>
    </row>
    <row r="42" spans="1:22" x14ac:dyDescent="0.2">
      <c r="B42" t="s">
        <v>69</v>
      </c>
      <c r="D42" s="146">
        <v>0.02</v>
      </c>
      <c r="E42" t="s">
        <v>51</v>
      </c>
      <c r="T42" s="79"/>
      <c r="U42" s="79"/>
    </row>
    <row r="43" spans="1:22" ht="14.25" x14ac:dyDescent="0.2">
      <c r="A43" s="15" t="s">
        <v>255</v>
      </c>
      <c r="B43" s="15"/>
      <c r="C43" s="15"/>
      <c r="D43" s="15"/>
      <c r="E43" s="15"/>
      <c r="F43" s="15"/>
      <c r="G43" s="15"/>
      <c r="H43" s="15"/>
      <c r="I43" s="15"/>
      <c r="J43" s="15"/>
      <c r="K43" s="141"/>
      <c r="L43" s="141"/>
      <c r="M43" s="15"/>
      <c r="N43" s="15"/>
      <c r="O43" s="15"/>
      <c r="P43" s="15"/>
      <c r="Q43" s="15"/>
      <c r="R43" s="15"/>
      <c r="S43" s="15"/>
      <c r="T43" s="244">
        <v>45233</v>
      </c>
      <c r="U43" s="244" t="s">
        <v>169</v>
      </c>
      <c r="V43" s="245" t="s">
        <v>390</v>
      </c>
    </row>
    <row r="44" spans="1:22" x14ac:dyDescent="0.2">
      <c r="B44" t="s">
        <v>49</v>
      </c>
      <c r="D44" s="146">
        <v>0.6</v>
      </c>
      <c r="E44" t="s">
        <v>51</v>
      </c>
      <c r="T44" s="79"/>
      <c r="U44" s="79"/>
    </row>
    <row r="45" spans="1:22" x14ac:dyDescent="0.2">
      <c r="B45" t="s">
        <v>68</v>
      </c>
      <c r="D45" s="146">
        <v>0.02</v>
      </c>
      <c r="E45" t="s">
        <v>51</v>
      </c>
      <c r="T45" s="79"/>
      <c r="U45" s="79"/>
    </row>
    <row r="46" spans="1:22" x14ac:dyDescent="0.2">
      <c r="B46" t="s">
        <v>69</v>
      </c>
      <c r="D46" s="146">
        <v>0.2</v>
      </c>
      <c r="E46" t="s">
        <v>51</v>
      </c>
      <c r="T46" s="79"/>
      <c r="U46" s="79"/>
    </row>
    <row r="47" spans="1:22" x14ac:dyDescent="0.2">
      <c r="T47" s="79"/>
      <c r="U47" s="79"/>
    </row>
    <row r="48" spans="1:22" ht="14.45" customHeight="1" x14ac:dyDescent="0.2">
      <c r="A48" s="144" t="s">
        <v>118</v>
      </c>
      <c r="B48" s="15"/>
      <c r="C48" s="15"/>
      <c r="D48" s="15"/>
      <c r="E48" s="15"/>
      <c r="F48" s="15"/>
      <c r="G48" s="74" t="s">
        <v>125</v>
      </c>
      <c r="H48" s="728" t="s">
        <v>126</v>
      </c>
      <c r="I48" s="729"/>
      <c r="J48" s="15"/>
      <c r="K48" s="724" t="s">
        <v>195</v>
      </c>
      <c r="L48" s="724"/>
      <c r="M48" s="724"/>
      <c r="N48" s="724"/>
      <c r="O48" s="724"/>
      <c r="P48" s="724"/>
      <c r="Q48" s="724"/>
      <c r="R48" s="724"/>
      <c r="S48" s="15"/>
      <c r="T48" s="145">
        <v>45931</v>
      </c>
      <c r="U48" s="142" t="s">
        <v>170</v>
      </c>
      <c r="V48" s="143" t="s">
        <v>180</v>
      </c>
    </row>
    <row r="49" spans="1:27" ht="13.5" thickBot="1" x14ac:dyDescent="0.25">
      <c r="B49" t="s">
        <v>27</v>
      </c>
      <c r="D49" t="e">
        <f>G49</f>
        <v>#N/A</v>
      </c>
      <c r="G49" s="70" t="e">
        <f t="shared" ref="G49:G60" si="0">INDEX($H$49:$I$60,MATCH(B49,$B$49:$B$60,0),MATCH(_Netzversorger,$H$49:$I$49,0))</f>
        <v>#N/A</v>
      </c>
      <c r="H49" s="89" t="s">
        <v>53</v>
      </c>
      <c r="I49" s="90" t="s">
        <v>402</v>
      </c>
      <c r="K49" s="725"/>
      <c r="L49" s="725"/>
      <c r="M49" s="725"/>
      <c r="N49" s="725"/>
      <c r="O49" s="725"/>
      <c r="P49" s="725"/>
      <c r="Q49" s="725"/>
      <c r="R49" s="725"/>
    </row>
    <row r="50" spans="1:27" ht="55.5" x14ac:dyDescent="0.25">
      <c r="A50" s="6"/>
      <c r="B50" s="6" t="s">
        <v>119</v>
      </c>
      <c r="F50" s="6"/>
      <c r="G50" s="71" t="e">
        <f t="shared" si="0"/>
        <v>#N/A</v>
      </c>
      <c r="H50" s="87" t="s">
        <v>226</v>
      </c>
      <c r="I50" s="88" t="s">
        <v>382</v>
      </c>
      <c r="K50" s="91" t="s">
        <v>201</v>
      </c>
      <c r="L50" s="91" t="s">
        <v>231</v>
      </c>
      <c r="M50" s="92" t="s">
        <v>185</v>
      </c>
      <c r="N50" s="92"/>
      <c r="O50" s="92" t="s">
        <v>244</v>
      </c>
      <c r="P50" s="132" t="s">
        <v>183</v>
      </c>
      <c r="Q50" s="92" t="s">
        <v>184</v>
      </c>
      <c r="R50" s="92" t="s">
        <v>187</v>
      </c>
      <c r="S50" s="44" t="s">
        <v>189</v>
      </c>
    </row>
    <row r="51" spans="1:27" ht="14.25" x14ac:dyDescent="0.2">
      <c r="B51" t="s">
        <v>30</v>
      </c>
      <c r="D51" s="2" t="e">
        <f>G51</f>
        <v>#N/A</v>
      </c>
      <c r="E51" t="s">
        <v>32</v>
      </c>
      <c r="F51" t="e">
        <f>G50</f>
        <v>#N/A</v>
      </c>
      <c r="G51" s="72" t="e">
        <f>INDEX($H$49:$I$60,MATCH(B51,$B$49:$B$60,0),MATCH(_Netzversorger,$H$49:$I$49,0))</f>
        <v>#N/A</v>
      </c>
      <c r="H51" s="83">
        <f>AVERAGE(K51:M51)</f>
        <v>13</v>
      </c>
      <c r="I51" s="84">
        <f>AVERAGE(O51:R51)</f>
        <v>12.4495</v>
      </c>
      <c r="K51" s="41">
        <v>13</v>
      </c>
      <c r="L51" s="41">
        <v>13</v>
      </c>
      <c r="M51" s="41">
        <v>13</v>
      </c>
      <c r="O51" s="95">
        <f>(10.38+2.759+5.731+9.377)/4</f>
        <v>7.06175</v>
      </c>
      <c r="P51" s="133">
        <v>28.971</v>
      </c>
      <c r="Q51" s="41">
        <v>8.3160000000000007</v>
      </c>
      <c r="R51" s="101">
        <f>(8.751+3.342+3.507+6.197)/4</f>
        <v>5.4492500000000001</v>
      </c>
      <c r="S51" s="67" t="s">
        <v>175</v>
      </c>
      <c r="AA51" s="44"/>
    </row>
    <row r="52" spans="1:27" x14ac:dyDescent="0.2">
      <c r="B52" t="s">
        <v>199</v>
      </c>
      <c r="D52" s="2" t="e">
        <f>G52</f>
        <v>#N/A</v>
      </c>
      <c r="E52" t="s">
        <v>32</v>
      </c>
      <c r="F52" t="e">
        <f>"Bei Anlageleistung &lt;= "&amp;G53&amp;"kVA"</f>
        <v>#N/A</v>
      </c>
      <c r="G52" s="72" t="e">
        <f t="shared" si="0"/>
        <v>#N/A</v>
      </c>
      <c r="H52" s="83">
        <f t="shared" ref="H52:H54" si="1">AVERAGE(K52:M52)</f>
        <v>4</v>
      </c>
      <c r="I52" s="84">
        <f>AVERAGE(O52:R52)</f>
        <v>2</v>
      </c>
      <c r="K52" s="41">
        <v>4</v>
      </c>
      <c r="L52" s="41">
        <v>4</v>
      </c>
      <c r="M52" s="41">
        <v>4</v>
      </c>
      <c r="O52" s="41">
        <v>2</v>
      </c>
      <c r="P52" s="133">
        <v>2</v>
      </c>
      <c r="Q52" s="41">
        <v>2</v>
      </c>
      <c r="R52" s="41">
        <v>2</v>
      </c>
      <c r="S52" s="67" t="s">
        <v>190</v>
      </c>
    </row>
    <row r="53" spans="1:27" x14ac:dyDescent="0.2">
      <c r="B53" t="s">
        <v>134</v>
      </c>
      <c r="D53" t="e">
        <f>G53</f>
        <v>#N/A</v>
      </c>
      <c r="E53" t="s">
        <v>135</v>
      </c>
      <c r="F53" t="e">
        <f>B52&amp;" bis und mit "&amp;D53&amp;" kVA "&amp;B54&amp;" ab "&amp;D53&amp;" kVA"</f>
        <v>#N/A</v>
      </c>
      <c r="G53" s="71" t="e">
        <f t="shared" si="0"/>
        <v>#N/A</v>
      </c>
      <c r="H53" s="104">
        <v>10000</v>
      </c>
      <c r="I53" s="105">
        <v>100</v>
      </c>
      <c r="K53" s="2"/>
      <c r="L53" s="2"/>
      <c r="M53" s="2"/>
      <c r="O53" s="103"/>
      <c r="P53" s="134"/>
      <c r="Q53" s="103"/>
      <c r="R53" s="103"/>
      <c r="S53" t="s">
        <v>192</v>
      </c>
    </row>
    <row r="54" spans="1:27" ht="13.5" thickBot="1" x14ac:dyDescent="0.25">
      <c r="B54" t="s">
        <v>200</v>
      </c>
      <c r="D54" s="2" t="e">
        <f>G54</f>
        <v>#N/A</v>
      </c>
      <c r="E54" t="s">
        <v>32</v>
      </c>
      <c r="F54" t="e">
        <f>"Bei Anlageleistung &gt; "&amp;G53&amp;"kVA"</f>
        <v>#N/A</v>
      </c>
      <c r="G54" s="72" t="e">
        <f t="shared" si="0"/>
        <v>#N/A</v>
      </c>
      <c r="H54" s="83">
        <f t="shared" si="1"/>
        <v>4</v>
      </c>
      <c r="I54" s="84">
        <f>AVERAGE(O54:R54)</f>
        <v>1</v>
      </c>
      <c r="K54" s="41">
        <v>4</v>
      </c>
      <c r="L54" s="41">
        <v>4</v>
      </c>
      <c r="M54" s="41">
        <v>4</v>
      </c>
      <c r="O54" s="41">
        <v>1</v>
      </c>
      <c r="P54" s="135">
        <v>1</v>
      </c>
      <c r="Q54" s="41">
        <v>1</v>
      </c>
      <c r="R54" s="41">
        <v>1</v>
      </c>
    </row>
    <row r="55" spans="1:27" ht="42" thickBot="1" x14ac:dyDescent="0.25">
      <c r="A55" s="6"/>
      <c r="B55" s="6" t="s">
        <v>108</v>
      </c>
      <c r="F55" s="6"/>
      <c r="G55" s="72" t="e">
        <f t="shared" si="0"/>
        <v>#N/A</v>
      </c>
      <c r="H55" s="87" t="s">
        <v>198</v>
      </c>
      <c r="I55" s="102" t="s">
        <v>197</v>
      </c>
      <c r="K55" s="82"/>
      <c r="L55" s="82"/>
    </row>
    <row r="56" spans="1:27" ht="14.25" x14ac:dyDescent="0.2">
      <c r="B56" t="s">
        <v>206</v>
      </c>
      <c r="D56" s="2" t="e">
        <f>G56</f>
        <v>#N/A</v>
      </c>
      <c r="E56" t="s">
        <v>32</v>
      </c>
      <c r="F56" t="e">
        <f>G55</f>
        <v>#N/A</v>
      </c>
      <c r="G56" s="72" t="e">
        <f t="shared" si="0"/>
        <v>#N/A</v>
      </c>
      <c r="H56" s="83">
        <f>AVERAGE(K56:M56)</f>
        <v>10.933333333333332</v>
      </c>
      <c r="I56" s="84">
        <f>AVERAGE(O56:R56)</f>
        <v>16.574999999999999</v>
      </c>
      <c r="K56" s="41">
        <v>10.45</v>
      </c>
      <c r="L56" s="41">
        <v>9.4499999999999993</v>
      </c>
      <c r="M56" s="41">
        <v>12.9</v>
      </c>
      <c r="N56" s="67" t="s">
        <v>176</v>
      </c>
      <c r="O56" s="41">
        <v>11.5</v>
      </c>
      <c r="P56" s="136">
        <v>15</v>
      </c>
      <c r="Q56" s="101">
        <v>20.399999999999999</v>
      </c>
      <c r="R56" s="101">
        <v>19.399999999999999</v>
      </c>
      <c r="S56" s="67" t="s">
        <v>191</v>
      </c>
    </row>
    <row r="57" spans="1:27" ht="14.25" x14ac:dyDescent="0.2">
      <c r="B57" t="s">
        <v>207</v>
      </c>
      <c r="D57" s="2" t="e">
        <f>G57</f>
        <v>#N/A</v>
      </c>
      <c r="E57" t="s">
        <v>32</v>
      </c>
      <c r="G57" s="72" t="e">
        <f t="shared" si="0"/>
        <v>#N/A</v>
      </c>
      <c r="H57" s="83">
        <f t="shared" ref="H57:H60" si="2">AVERAGE(K57:M57)</f>
        <v>12.383333333333333</v>
      </c>
      <c r="I57" s="84">
        <f t="shared" ref="I57:I60" si="3">AVERAGE(O57:R57)</f>
        <v>7.6825000000000001</v>
      </c>
      <c r="K57" s="41">
        <v>13</v>
      </c>
      <c r="L57" s="41">
        <v>11.95</v>
      </c>
      <c r="M57" s="41">
        <v>12.2</v>
      </c>
      <c r="O57" s="41">
        <v>6</v>
      </c>
      <c r="P57" s="137">
        <v>6.49</v>
      </c>
      <c r="Q57" s="101">
        <v>8.74</v>
      </c>
      <c r="R57" s="101">
        <v>9.5</v>
      </c>
    </row>
    <row r="58" spans="1:27" ht="14.25" x14ac:dyDescent="0.2">
      <c r="B58" t="s">
        <v>54</v>
      </c>
      <c r="D58" s="2" t="e">
        <f>G58</f>
        <v>#N/A</v>
      </c>
      <c r="E58" t="s">
        <v>32</v>
      </c>
      <c r="G58" s="72" t="e">
        <f t="shared" si="0"/>
        <v>#N/A</v>
      </c>
      <c r="H58" s="83">
        <f t="shared" si="2"/>
        <v>0.52333333333333332</v>
      </c>
      <c r="I58" s="84">
        <f t="shared" si="3"/>
        <v>0.50750000000000006</v>
      </c>
      <c r="K58" s="41">
        <v>0.55000000000000004</v>
      </c>
      <c r="L58" s="41">
        <v>0.27</v>
      </c>
      <c r="M58" s="41">
        <v>0.75</v>
      </c>
      <c r="O58" s="41">
        <v>0.55000000000000004</v>
      </c>
      <c r="P58" s="137">
        <f>0.27</f>
        <v>0.27</v>
      </c>
      <c r="Q58" s="101">
        <v>0.46</v>
      </c>
      <c r="R58" s="101">
        <v>0.75</v>
      </c>
    </row>
    <row r="59" spans="1:27" ht="14.25" x14ac:dyDescent="0.2">
      <c r="B59" t="s">
        <v>186</v>
      </c>
      <c r="D59" s="2" t="e">
        <f>G59</f>
        <v>#N/A</v>
      </c>
      <c r="E59" t="s">
        <v>32</v>
      </c>
      <c r="G59" s="72" t="e">
        <f t="shared" si="0"/>
        <v>#N/A</v>
      </c>
      <c r="H59" s="83">
        <f t="shared" si="2"/>
        <v>2.4633333333333334</v>
      </c>
      <c r="I59" s="84">
        <f t="shared" si="3"/>
        <v>1.8949999999999998</v>
      </c>
      <c r="K59" s="41">
        <f>1.6+0.23</f>
        <v>1.83</v>
      </c>
      <c r="L59" s="41">
        <f>1.6+0.5+0.41+0.05</f>
        <v>2.56</v>
      </c>
      <c r="M59" s="41">
        <f>1.2+1.8</f>
        <v>3</v>
      </c>
      <c r="O59" s="106">
        <f>1.8+0.25</f>
        <v>2.0499999999999998</v>
      </c>
      <c r="P59" s="137">
        <f>1.8+0.41+0.05</f>
        <v>2.2599999999999998</v>
      </c>
      <c r="Q59" s="101">
        <v>0.92</v>
      </c>
      <c r="R59" s="101">
        <f>1.2+1.15</f>
        <v>2.3499999999999996</v>
      </c>
      <c r="S59" s="107" t="s">
        <v>202</v>
      </c>
    </row>
    <row r="60" spans="1:27" ht="14.25" x14ac:dyDescent="0.2">
      <c r="B60" t="s">
        <v>55</v>
      </c>
      <c r="D60" s="2" t="e">
        <f>G60</f>
        <v>#N/A</v>
      </c>
      <c r="E60" t="s">
        <v>32</v>
      </c>
      <c r="G60" s="73" t="e">
        <f t="shared" si="0"/>
        <v>#N/A</v>
      </c>
      <c r="H60" s="85">
        <f t="shared" si="2"/>
        <v>2.2999999999999998</v>
      </c>
      <c r="I60" s="86">
        <f t="shared" si="3"/>
        <v>2.2999999999999998</v>
      </c>
      <c r="K60" s="41">
        <v>2.2999999999999998</v>
      </c>
      <c r="L60" s="41">
        <v>2.2999999999999998</v>
      </c>
      <c r="M60" s="41">
        <v>2.2999999999999998</v>
      </c>
      <c r="O60" s="41">
        <v>2.2999999999999998</v>
      </c>
      <c r="P60" s="137">
        <v>2.2999999999999998</v>
      </c>
      <c r="Q60" s="101">
        <v>2.2999999999999998</v>
      </c>
      <c r="R60" s="101">
        <v>2.2999999999999998</v>
      </c>
    </row>
    <row r="61" spans="1:27" x14ac:dyDescent="0.2">
      <c r="D61" s="2"/>
      <c r="K61"/>
      <c r="L61"/>
      <c r="P61" s="722" t="s">
        <v>230</v>
      </c>
      <c r="AA61" s="147"/>
    </row>
    <row r="62" spans="1:27" x14ac:dyDescent="0.2">
      <c r="D62" s="2"/>
      <c r="K62"/>
      <c r="L62"/>
      <c r="P62" s="722"/>
      <c r="AA62" s="147"/>
    </row>
    <row r="63" spans="1:27" x14ac:dyDescent="0.2">
      <c r="N63" t="s">
        <v>188</v>
      </c>
      <c r="P63" s="722"/>
    </row>
    <row r="64" spans="1:27" x14ac:dyDescent="0.2">
      <c r="P64" s="722"/>
    </row>
    <row r="65" spans="1:23" ht="13.5" thickBot="1" x14ac:dyDescent="0.25">
      <c r="P65" s="723"/>
    </row>
    <row r="67" spans="1:23" x14ac:dyDescent="0.2">
      <c r="A67" s="15" t="s">
        <v>120</v>
      </c>
      <c r="B67" s="15"/>
      <c r="C67" s="15"/>
      <c r="D67" s="15"/>
      <c r="E67" s="15"/>
      <c r="F67" s="15"/>
      <c r="G67" s="15"/>
      <c r="H67" s="15"/>
      <c r="I67" s="15"/>
      <c r="J67" s="15"/>
      <c r="K67" s="141"/>
      <c r="L67" s="141"/>
      <c r="M67" s="15"/>
      <c r="N67" s="15"/>
      <c r="O67" s="15"/>
      <c r="P67" s="15"/>
      <c r="Q67" s="15"/>
      <c r="R67" s="15"/>
      <c r="S67" s="15"/>
      <c r="T67" s="141"/>
      <c r="U67" s="141"/>
      <c r="V67" s="15"/>
    </row>
    <row r="68" spans="1:23" x14ac:dyDescent="0.2">
      <c r="B68" t="s">
        <v>121</v>
      </c>
      <c r="D68" s="40">
        <v>30</v>
      </c>
      <c r="E68" t="s">
        <v>38</v>
      </c>
      <c r="F68" t="s">
        <v>133</v>
      </c>
      <c r="T68" s="81">
        <v>44853</v>
      </c>
      <c r="U68" s="81" t="s">
        <v>169</v>
      </c>
      <c r="V68" s="40" t="s">
        <v>181</v>
      </c>
    </row>
    <row r="69" spans="1:23" x14ac:dyDescent="0.2">
      <c r="B69" t="s">
        <v>128</v>
      </c>
      <c r="D69" s="40">
        <v>20</v>
      </c>
      <c r="E69" t="s">
        <v>38</v>
      </c>
      <c r="F69" t="s">
        <v>133</v>
      </c>
      <c r="T69" s="81">
        <v>44853</v>
      </c>
      <c r="U69" s="81" t="s">
        <v>169</v>
      </c>
      <c r="V69" s="40" t="s">
        <v>181</v>
      </c>
    </row>
    <row r="70" spans="1:23" x14ac:dyDescent="0.2">
      <c r="B70" t="s">
        <v>33</v>
      </c>
      <c r="D70" s="40">
        <v>1.25</v>
      </c>
      <c r="E70" t="s">
        <v>5</v>
      </c>
      <c r="F70" t="s">
        <v>355</v>
      </c>
      <c r="T70" s="131">
        <v>45931</v>
      </c>
      <c r="U70" s="81" t="s">
        <v>170</v>
      </c>
      <c r="V70" s="40" t="s">
        <v>180</v>
      </c>
      <c r="W70" s="67" t="s">
        <v>193</v>
      </c>
    </row>
    <row r="71" spans="1:23" x14ac:dyDescent="0.2">
      <c r="B71" t="s">
        <v>4</v>
      </c>
      <c r="D71" s="40">
        <v>30</v>
      </c>
      <c r="E71" t="s">
        <v>5</v>
      </c>
      <c r="F71" t="s">
        <v>133</v>
      </c>
      <c r="T71" s="79"/>
      <c r="U71" s="79"/>
    </row>
    <row r="72" spans="1:23" x14ac:dyDescent="0.2">
      <c r="B72" t="s">
        <v>416</v>
      </c>
      <c r="D72" s="41">
        <v>3</v>
      </c>
      <c r="E72" t="s">
        <v>32</v>
      </c>
      <c r="F72" t="s">
        <v>133</v>
      </c>
      <c r="T72" s="81">
        <v>44853</v>
      </c>
      <c r="U72" s="81" t="s">
        <v>169</v>
      </c>
      <c r="V72" s="40" t="s">
        <v>181</v>
      </c>
    </row>
    <row r="73" spans="1:23" x14ac:dyDescent="0.2">
      <c r="B73" t="s">
        <v>124</v>
      </c>
      <c r="D73" s="40">
        <v>8.1</v>
      </c>
      <c r="E73" t="s">
        <v>5</v>
      </c>
      <c r="F73" t="s">
        <v>133</v>
      </c>
      <c r="T73" s="131">
        <v>45931</v>
      </c>
      <c r="U73" s="81" t="s">
        <v>170</v>
      </c>
      <c r="V73" s="40" t="s">
        <v>167</v>
      </c>
    </row>
    <row r="75" spans="1:23" ht="14.45" customHeight="1" x14ac:dyDescent="0.2">
      <c r="A75" s="15" t="s">
        <v>300</v>
      </c>
      <c r="B75" s="15"/>
      <c r="C75" s="15"/>
      <c r="D75" s="154" t="s">
        <v>256</v>
      </c>
      <c r="E75" s="15"/>
      <c r="F75" s="15"/>
      <c r="G75" s="219" t="s">
        <v>364</v>
      </c>
      <c r="H75" s="15"/>
      <c r="I75" s="15"/>
      <c r="J75" s="15"/>
      <c r="K75" s="141"/>
      <c r="L75" s="141"/>
      <c r="M75" s="15"/>
      <c r="N75" s="15"/>
      <c r="O75" s="15"/>
      <c r="P75" s="15"/>
      <c r="Q75" s="15"/>
      <c r="R75" s="15"/>
      <c r="S75" s="15"/>
      <c r="T75" s="148">
        <v>45622</v>
      </c>
      <c r="U75" s="148" t="s">
        <v>170</v>
      </c>
      <c r="V75" s="149" t="s">
        <v>167</v>
      </c>
      <c r="W75" t="s">
        <v>203</v>
      </c>
    </row>
    <row r="76" spans="1:23" ht="14.45" customHeight="1" x14ac:dyDescent="0.2">
      <c r="D76" s="1"/>
      <c r="K76"/>
      <c r="L76"/>
    </row>
    <row r="77" spans="1:23" ht="106.5" customHeight="1" x14ac:dyDescent="0.2">
      <c r="B77" s="112" t="s">
        <v>209</v>
      </c>
      <c r="C77" s="113" t="s">
        <v>210</v>
      </c>
      <c r="D77" s="113" t="s">
        <v>204</v>
      </c>
      <c r="E77" s="114" t="s">
        <v>205</v>
      </c>
      <c r="F77" s="152" t="s">
        <v>299</v>
      </c>
      <c r="K77"/>
      <c r="L77"/>
    </row>
    <row r="78" spans="1:23" ht="14.45" customHeight="1" x14ac:dyDescent="0.2">
      <c r="B78" s="104">
        <v>2</v>
      </c>
      <c r="C78" s="42">
        <v>10</v>
      </c>
      <c r="D78" s="42">
        <v>2034</v>
      </c>
      <c r="E78" s="105">
        <v>6191</v>
      </c>
      <c r="F78" s="153">
        <v>1.2</v>
      </c>
      <c r="K78"/>
      <c r="L78"/>
      <c r="T78" s="138" t="s">
        <v>344</v>
      </c>
    </row>
    <row r="79" spans="1:23" ht="14.45" customHeight="1" x14ac:dyDescent="0.2">
      <c r="B79" s="115">
        <f>C78</f>
        <v>10</v>
      </c>
      <c r="C79" s="42">
        <v>30</v>
      </c>
      <c r="D79" s="42">
        <v>1177</v>
      </c>
      <c r="E79" s="105">
        <v>14762</v>
      </c>
      <c r="F79" s="4"/>
      <c r="G79" s="4"/>
      <c r="K79"/>
      <c r="L79"/>
    </row>
    <row r="80" spans="1:23" ht="14.45" customHeight="1" x14ac:dyDescent="0.2">
      <c r="B80" s="115">
        <f>C79</f>
        <v>30</v>
      </c>
      <c r="C80" s="42">
        <v>100</v>
      </c>
      <c r="D80" s="42">
        <v>1464</v>
      </c>
      <c r="E80" s="105">
        <v>6148</v>
      </c>
      <c r="F80" s="4"/>
      <c r="G80" s="4"/>
      <c r="K80"/>
      <c r="L80"/>
      <c r="T80" s="138" t="s">
        <v>298</v>
      </c>
    </row>
    <row r="81" spans="1:22" ht="14.45" customHeight="1" x14ac:dyDescent="0.2">
      <c r="B81" s="115">
        <f t="shared" ref="B81:B82" si="4">C80</f>
        <v>100</v>
      </c>
      <c r="C81" s="42">
        <v>300</v>
      </c>
      <c r="D81" s="42">
        <v>758</v>
      </c>
      <c r="E81" s="105">
        <v>76754</v>
      </c>
      <c r="F81" s="4"/>
      <c r="G81" s="4"/>
      <c r="K81"/>
      <c r="L81"/>
    </row>
    <row r="82" spans="1:22" ht="14.45" customHeight="1" x14ac:dyDescent="0.2">
      <c r="B82" s="118">
        <f t="shared" si="4"/>
        <v>300</v>
      </c>
      <c r="C82" s="119">
        <v>10000</v>
      </c>
      <c r="D82" s="119">
        <v>758</v>
      </c>
      <c r="E82" s="120">
        <v>76754</v>
      </c>
      <c r="F82" s="4"/>
      <c r="G82" s="4"/>
      <c r="K82"/>
      <c r="L82"/>
      <c r="T82" s="131">
        <v>45931</v>
      </c>
      <c r="U82" s="81" t="s">
        <v>170</v>
      </c>
      <c r="V82" s="40" t="s">
        <v>167</v>
      </c>
    </row>
    <row r="83" spans="1:22" ht="14.45" customHeight="1" x14ac:dyDescent="0.2">
      <c r="D83" s="217"/>
      <c r="K83"/>
      <c r="L83"/>
    </row>
    <row r="84" spans="1:22" ht="15" x14ac:dyDescent="0.25">
      <c r="A84" s="213" t="s">
        <v>346</v>
      </c>
      <c r="B84" s="213"/>
      <c r="C84" s="213" t="s">
        <v>351</v>
      </c>
      <c r="D84" s="213" t="s">
        <v>28</v>
      </c>
      <c r="E84" s="213" t="s">
        <v>345</v>
      </c>
      <c r="F84" s="213"/>
      <c r="G84" s="213" t="s">
        <v>251</v>
      </c>
      <c r="H84" s="213" t="s">
        <v>345</v>
      </c>
      <c r="I84" s="213"/>
      <c r="J84" s="214" t="s">
        <v>348</v>
      </c>
      <c r="L84"/>
    </row>
    <row r="85" spans="1:22" ht="14.25" x14ac:dyDescent="0.2">
      <c r="B85" t="s">
        <v>21</v>
      </c>
      <c r="D85">
        <f ca="1">_Anlageleistung_t.Vb.</f>
        <v>0</v>
      </c>
      <c r="E85" s="4">
        <f ca="1">IF(D85&gt;0,H85*J85,0)</f>
        <v>0</v>
      </c>
      <c r="F85" t="s">
        <v>52</v>
      </c>
      <c r="G85" s="50"/>
      <c r="H85" s="4" cm="1">
        <f t="array" aca="1" ref="H85" ca="1">IF(AND(D85&gt;=$B$78),
_xlfn.IFS(D85&lt;$C$78,D85*$D$78+$E$78,
D85&lt;$C$79,D85*$D$79+$E$79,
D85&lt;$C$80,D85*$D$80+$E$80,
D85&lt;$C$81,D85*$D$81+$E$81,
D85&lt;$C$82,D85*$D$82+$E$82)/D85,0)</f>
        <v>0</v>
      </c>
      <c r="I85" t="s">
        <v>52</v>
      </c>
      <c r="J85" s="13" t="e">
        <f ca="1">SUMPRODUCT(D$86:D$97,J$86:J$97)/(SUM(D$86:D$97))</f>
        <v>#DIV/0!</v>
      </c>
      <c r="L85" s="246"/>
      <c r="M85" s="246"/>
      <c r="N85" s="246"/>
      <c r="O85" s="246"/>
    </row>
    <row r="86" spans="1:22" ht="14.25" x14ac:dyDescent="0.2">
      <c r="A86">
        <v>1</v>
      </c>
      <c r="B86" t="str">
        <f t="shared" ref="B86:B97" si="5">"Dachfläche ("&amp;A86&amp;")"</f>
        <v>Dachfläche (1)</v>
      </c>
      <c r="C86" t="str">
        <f t="shared" ref="C86:C97" si="6">CONCATENATE(B86,A$84)</f>
        <v>Dachfläche (1)P_TF_t.Vb.</v>
      </c>
      <c r="D86">
        <f ca="1">IFERROR(VLOOKUP(C86,INDIRECT(CONCATENATE("'",B86,"'!D:E")),2,FALSE),"")</f>
        <v>0</v>
      </c>
      <c r="E86" s="4">
        <f t="shared" ref="E86:E91" ca="1" si="7">IFERROR(H86*J86,0)</f>
        <v>0</v>
      </c>
      <c r="F86" t="s">
        <v>52</v>
      </c>
      <c r="G86" s="50" t="str">
        <f t="shared" ref="G86:G91" ca="1" si="8">IFERROR(VLOOKUP("Typ",INDIRECT(CONCATENATE("'",B86,"'!D:E")),2,FALSE),"")</f>
        <v/>
      </c>
      <c r="H86" s="4" cm="1">
        <f t="array" aca="1" ref="H86" ca="1">IF(AND(D86&gt;=$B$78),
_xlfn.IFS(D86&lt;$C$78,D86*$D$78+$E$78,
D86&lt;$C$79,D86*$D$79+$E$79,
D86&lt;$C$80,D86*$D$80+$E$80,
D86&lt;$C$81,D86*$D$81+$E$81)/D86,0)</f>
        <v>0</v>
      </c>
      <c r="I86" t="s">
        <v>52</v>
      </c>
      <c r="J86" s="13" cm="1">
        <f t="array" aca="1" ref="J86" ca="1">_xlfn.IFS(D86=0,0,G86="Fdg",$F$78,TRUE,1)</f>
        <v>0</v>
      </c>
      <c r="K86"/>
      <c r="Q86" s="4"/>
      <c r="T86" s="79"/>
      <c r="U86" s="79"/>
      <c r="V86" s="79"/>
    </row>
    <row r="87" spans="1:22" ht="14.25" x14ac:dyDescent="0.2">
      <c r="A87">
        <v>2</v>
      </c>
      <c r="B87" t="str">
        <f t="shared" si="5"/>
        <v>Dachfläche (2)</v>
      </c>
      <c r="C87" t="str">
        <f t="shared" si="6"/>
        <v>Dachfläche (2)P_TF_t.Vb.</v>
      </c>
      <c r="D87">
        <f t="shared" ref="D87:D91" ca="1" si="9">IFERROR(VLOOKUP(C87,INDIRECT(CONCATENATE("'",B87,"'!D:E")),2,FALSE),"")</f>
        <v>0</v>
      </c>
      <c r="E87" s="4">
        <f t="shared" ca="1" si="7"/>
        <v>0</v>
      </c>
      <c r="F87" t="s">
        <v>52</v>
      </c>
      <c r="G87" s="50" t="str">
        <f t="shared" ca="1" si="8"/>
        <v/>
      </c>
      <c r="H87" s="4" cm="1">
        <f t="array" aca="1" ref="H87" ca="1">IF(AND(D87&gt;=$B$78),
_xlfn.IFS(D87&lt;$C$78,D87*$D$78+$E$78,
D87&lt;$C$79,D87*$D$79+$E$79,
D87&lt;$C$80,D87*$D$80+$E$80,
D87&lt;$C$81,D87*$D$81+$E$81)/D87,0)</f>
        <v>0</v>
      </c>
      <c r="I87" t="s">
        <v>52</v>
      </c>
      <c r="J87" s="13" cm="1">
        <f t="array" aca="1" ref="J87" ca="1">_xlfn.IFS(D87=0,0,G87="Fdg",$F$78,TRUE,1)</f>
        <v>0</v>
      </c>
      <c r="K87"/>
      <c r="Q87" s="4"/>
      <c r="T87" s="79"/>
      <c r="U87" s="79"/>
    </row>
    <row r="88" spans="1:22" ht="14.25" x14ac:dyDescent="0.2">
      <c r="A88">
        <v>3</v>
      </c>
      <c r="B88" t="str">
        <f t="shared" si="5"/>
        <v>Dachfläche (3)</v>
      </c>
      <c r="C88" t="str">
        <f t="shared" si="6"/>
        <v>Dachfläche (3)P_TF_t.Vb.</v>
      </c>
      <c r="D88">
        <f t="shared" ca="1" si="9"/>
        <v>0</v>
      </c>
      <c r="E88" s="4">
        <f t="shared" ca="1" si="7"/>
        <v>0</v>
      </c>
      <c r="F88" t="s">
        <v>52</v>
      </c>
      <c r="G88" s="50" t="str">
        <f t="shared" ca="1" si="8"/>
        <v/>
      </c>
      <c r="H88" s="4" cm="1">
        <f t="array" aca="1" ref="H88" ca="1">IF(AND(D88&gt;=$B$78),
_xlfn.IFS(D88&lt;$C$78,D88*$D$78+$E$78,
D88&lt;$C$79,D88*$D$79+$E$79,
D88&lt;$C$80,D88*$D$80+$E$80,
D88&lt;$C$81,D88*$D$81+$E$81)/D88,0)</f>
        <v>0</v>
      </c>
      <c r="I88" t="s">
        <v>52</v>
      </c>
      <c r="J88" s="13" cm="1">
        <f t="array" aca="1" ref="J88" ca="1">_xlfn.IFS(D88=0,0,G88="Fdg",$F$78,TRUE,1)</f>
        <v>0</v>
      </c>
      <c r="K88"/>
      <c r="Q88" s="4"/>
      <c r="T88" s="79"/>
      <c r="U88" s="79"/>
    </row>
    <row r="89" spans="1:22" ht="14.25" x14ac:dyDescent="0.2">
      <c r="A89">
        <v>4</v>
      </c>
      <c r="B89" t="str">
        <f t="shared" si="5"/>
        <v>Dachfläche (4)</v>
      </c>
      <c r="C89" t="str">
        <f t="shared" si="6"/>
        <v>Dachfläche (4)P_TF_t.Vb.</v>
      </c>
      <c r="D89">
        <f t="shared" ca="1" si="9"/>
        <v>0</v>
      </c>
      <c r="E89" s="4">
        <f t="shared" ca="1" si="7"/>
        <v>0</v>
      </c>
      <c r="F89" t="s">
        <v>52</v>
      </c>
      <c r="G89" s="50" t="str">
        <f t="shared" ca="1" si="8"/>
        <v/>
      </c>
      <c r="H89" s="4" cm="1">
        <f t="array" aca="1" ref="H89" ca="1">IF(AND(D89&gt;=$B$78),
_xlfn.IFS(D89&lt;$C$78,D89*$D$78+$E$78,
D89&lt;$C$79,D89*$D$79+$E$79,
D89&lt;$C$80,D89*$D$80+$E$80,
D89&lt;$C$81,D89*$D$81+$E$81)/D89,0)</f>
        <v>0</v>
      </c>
      <c r="I89" t="s">
        <v>52</v>
      </c>
      <c r="J89" s="13" cm="1">
        <f t="array" aca="1" ref="J89" ca="1">_xlfn.IFS(D89=0,0,G89="Fdg",$F$78,TRUE,1)</f>
        <v>0</v>
      </c>
      <c r="K89"/>
      <c r="T89" s="79"/>
      <c r="U89" s="79"/>
    </row>
    <row r="90" spans="1:22" ht="14.25" x14ac:dyDescent="0.2">
      <c r="A90">
        <v>5</v>
      </c>
      <c r="B90" t="str">
        <f t="shared" si="5"/>
        <v>Dachfläche (5)</v>
      </c>
      <c r="C90" t="str">
        <f t="shared" si="6"/>
        <v>Dachfläche (5)P_TF_t.Vb.</v>
      </c>
      <c r="D90">
        <f t="shared" ca="1" si="9"/>
        <v>0</v>
      </c>
      <c r="E90" s="4">
        <f t="shared" ca="1" si="7"/>
        <v>0</v>
      </c>
      <c r="F90" t="s">
        <v>52</v>
      </c>
      <c r="G90" s="50" t="str">
        <f t="shared" ca="1" si="8"/>
        <v/>
      </c>
      <c r="H90" s="4" cm="1">
        <f t="array" aca="1" ref="H90" ca="1">IF(AND(D90&gt;=$B$78),
_xlfn.IFS(D90&lt;$C$78,D90*$D$78+$E$78,
D90&lt;$C$79,D90*$D$79+$E$79,
D90&lt;$C$80,D90*$D$80+$E$80,
D90&lt;$C$81,D90*$D$81+$E$81)/D90,0)</f>
        <v>0</v>
      </c>
      <c r="I90" t="s">
        <v>52</v>
      </c>
      <c r="J90" s="13" cm="1">
        <f t="array" aca="1" ref="J90" ca="1">_xlfn.IFS(D90=0,0,G90="Fdg",$F$78,TRUE,1)</f>
        <v>0</v>
      </c>
      <c r="K90"/>
    </row>
    <row r="91" spans="1:22" ht="14.25" x14ac:dyDescent="0.2">
      <c r="A91">
        <v>6</v>
      </c>
      <c r="B91" t="str">
        <f t="shared" si="5"/>
        <v>Dachfläche (6)</v>
      </c>
      <c r="C91" t="str">
        <f t="shared" si="6"/>
        <v>Dachfläche (6)P_TF_t.Vb.</v>
      </c>
      <c r="D91">
        <f t="shared" ca="1" si="9"/>
        <v>0</v>
      </c>
      <c r="E91" s="4">
        <f t="shared" ca="1" si="7"/>
        <v>0</v>
      </c>
      <c r="F91" t="s">
        <v>52</v>
      </c>
      <c r="G91" s="50" t="str">
        <f t="shared" ca="1" si="8"/>
        <v/>
      </c>
      <c r="H91" s="4" cm="1">
        <f t="array" aca="1" ref="H91" ca="1">IF(AND(D91&gt;=$B$78),
_xlfn.IFS(D91&lt;$C$78,D91*$D$78+$E$78,
D91&lt;$C$79,D91*$D$79+$E$79,
D91&lt;$C$80,D91*$D$80+$E$80,
D91&lt;$C$81,D91*$D$81+$E$81)/D91,0)</f>
        <v>0</v>
      </c>
      <c r="I91" t="s">
        <v>52</v>
      </c>
      <c r="J91" s="13" cm="1">
        <f t="array" aca="1" ref="J91" ca="1">_xlfn.IFS(D91=0,0,G91="Fdg",$F$78,TRUE,1)</f>
        <v>0</v>
      </c>
      <c r="K91"/>
      <c r="M91" s="79"/>
      <c r="O91" s="4"/>
      <c r="P91" s="4"/>
      <c r="T91" s="79"/>
      <c r="U91" s="79"/>
    </row>
    <row r="92" spans="1:22" ht="14.25" x14ac:dyDescent="0.2">
      <c r="A92">
        <v>7</v>
      </c>
      <c r="B92" t="str">
        <f t="shared" si="5"/>
        <v>Dachfläche (7)</v>
      </c>
      <c r="C92" t="str">
        <f t="shared" si="6"/>
        <v>Dachfläche (7)P_TF_t.Vb.</v>
      </c>
      <c r="E92" s="4"/>
      <c r="G92" s="50"/>
      <c r="H92" s="4"/>
      <c r="J92" s="13"/>
      <c r="K92"/>
      <c r="T92" s="79"/>
      <c r="U92" s="79"/>
    </row>
    <row r="93" spans="1:22" ht="14.25" x14ac:dyDescent="0.2">
      <c r="A93">
        <v>8</v>
      </c>
      <c r="B93" t="str">
        <f t="shared" si="5"/>
        <v>Dachfläche (8)</v>
      </c>
      <c r="C93" t="str">
        <f t="shared" si="6"/>
        <v>Dachfläche (8)P_TF_t.Vb.</v>
      </c>
      <c r="E93" s="4"/>
      <c r="G93" s="50"/>
      <c r="H93" s="4"/>
      <c r="J93" s="13"/>
      <c r="K93"/>
      <c r="M93" s="79"/>
      <c r="T93" s="79"/>
      <c r="U93" s="79"/>
    </row>
    <row r="94" spans="1:22" ht="14.25" x14ac:dyDescent="0.2">
      <c r="A94">
        <v>9</v>
      </c>
      <c r="B94" t="str">
        <f t="shared" si="5"/>
        <v>Dachfläche (9)</v>
      </c>
      <c r="C94" t="str">
        <f t="shared" si="6"/>
        <v>Dachfläche (9)P_TF_t.Vb.</v>
      </c>
      <c r="E94" s="4"/>
      <c r="G94" s="50"/>
      <c r="H94" s="4"/>
      <c r="J94" s="13"/>
      <c r="K94"/>
      <c r="T94" s="79"/>
      <c r="U94" s="79"/>
    </row>
    <row r="95" spans="1:22" ht="14.25" x14ac:dyDescent="0.2">
      <c r="A95">
        <v>10</v>
      </c>
      <c r="B95" t="str">
        <f t="shared" si="5"/>
        <v>Dachfläche (10)</v>
      </c>
      <c r="C95" t="str">
        <f t="shared" si="6"/>
        <v>Dachfläche (10)P_TF_t.Vb.</v>
      </c>
      <c r="E95" s="4"/>
      <c r="G95" s="50"/>
      <c r="H95" s="4"/>
      <c r="J95" s="13"/>
      <c r="K95"/>
      <c r="T95" s="79"/>
      <c r="U95" s="79"/>
    </row>
    <row r="96" spans="1:22" ht="14.25" x14ac:dyDescent="0.2">
      <c r="A96">
        <v>11</v>
      </c>
      <c r="B96" t="str">
        <f t="shared" si="5"/>
        <v>Dachfläche (11)</v>
      </c>
      <c r="C96" t="str">
        <f t="shared" si="6"/>
        <v>Dachfläche (11)P_TF_t.Vb.</v>
      </c>
      <c r="E96" s="4"/>
      <c r="G96" s="50"/>
      <c r="H96" s="4"/>
      <c r="J96" s="13"/>
      <c r="K96"/>
      <c r="T96" s="79"/>
      <c r="U96" s="79"/>
    </row>
    <row r="97" spans="1:28" ht="14.25" x14ac:dyDescent="0.2">
      <c r="A97">
        <v>12</v>
      </c>
      <c r="B97" t="str">
        <f t="shared" si="5"/>
        <v>Dachfläche (12)</v>
      </c>
      <c r="C97" t="str">
        <f t="shared" si="6"/>
        <v>Dachfläche (12)P_TF_t.Vb.</v>
      </c>
      <c r="E97" s="4"/>
      <c r="G97" s="50"/>
      <c r="H97" s="4"/>
      <c r="J97" s="13"/>
      <c r="K97"/>
      <c r="T97" s="79"/>
      <c r="U97" s="79"/>
    </row>
    <row r="98" spans="1:28" x14ac:dyDescent="0.2">
      <c r="J98" s="13"/>
      <c r="T98" s="79"/>
      <c r="U98" s="79"/>
    </row>
    <row r="99" spans="1:28" ht="15" x14ac:dyDescent="0.25">
      <c r="A99" s="213" t="s">
        <v>347</v>
      </c>
      <c r="B99" s="213"/>
      <c r="C99" s="213" t="s">
        <v>351</v>
      </c>
      <c r="D99" s="213" t="s">
        <v>28</v>
      </c>
      <c r="E99" s="213" t="s">
        <v>345</v>
      </c>
      <c r="F99" s="213"/>
      <c r="G99" s="213" t="s">
        <v>251</v>
      </c>
      <c r="H99" s="215" t="s">
        <v>345</v>
      </c>
      <c r="I99" s="213"/>
      <c r="J99" s="214" t="s">
        <v>348</v>
      </c>
      <c r="M99" s="79"/>
      <c r="N99" s="79"/>
      <c r="O99" s="79"/>
      <c r="P99" s="79"/>
      <c r="Q99" s="79"/>
      <c r="R99" s="79"/>
      <c r="S99" s="79"/>
      <c r="T99" s="79"/>
      <c r="U99" s="79"/>
      <c r="V99" s="79"/>
      <c r="W99" s="79"/>
      <c r="X99" s="79"/>
      <c r="Y99" s="79"/>
      <c r="Z99" s="79"/>
      <c r="AA99" s="79"/>
      <c r="AB99" s="79"/>
    </row>
    <row r="100" spans="1:28" ht="14.25" x14ac:dyDescent="0.2">
      <c r="B100" t="s">
        <v>21</v>
      </c>
      <c r="D100">
        <f ca="1">_Anlageleistung_g.Min.</f>
        <v>0</v>
      </c>
      <c r="E100" s="4">
        <f ca="1">IF(D100&gt;0,H100*J100,0)</f>
        <v>0</v>
      </c>
      <c r="F100" t="s">
        <v>52</v>
      </c>
      <c r="G100" s="50"/>
      <c r="H100" s="4" cm="1">
        <f t="array" aca="1" ref="H100" ca="1">IF(AND(D100&gt;=$B$78),
_xlfn.IFS(D100&lt;$C$78,D100*$D$78+$E$78,
D100&lt;$C$79,D100*$D$79+$E$79,
D100&lt;$C$80,D100*$D$80+$E$80,
D100&lt;$C$81,D100*$D$81+$E$81,
D100&lt;$C$82,D100*$D$82+$E$82)/D100,0)</f>
        <v>0</v>
      </c>
      <c r="I100" t="s">
        <v>52</v>
      </c>
      <c r="J100" s="13" t="e">
        <f ca="1">SUMPRODUCT(D$101:D$112,J$101:J$112)/(SUM(D$101:D$112))</f>
        <v>#DIV/0!</v>
      </c>
      <c r="M100" s="79"/>
      <c r="N100" s="79"/>
      <c r="O100" s="79"/>
      <c r="P100" s="79"/>
      <c r="Q100" s="79"/>
      <c r="R100" s="79"/>
      <c r="S100" s="79"/>
      <c r="T100" s="79"/>
      <c r="U100" s="79"/>
      <c r="V100" s="79"/>
      <c r="W100" s="79"/>
      <c r="X100" s="79"/>
      <c r="Y100" s="79"/>
      <c r="Z100" s="79"/>
      <c r="AA100" s="79"/>
      <c r="AB100" s="79"/>
    </row>
    <row r="101" spans="1:28" ht="14.25" x14ac:dyDescent="0.2">
      <c r="A101">
        <v>1</v>
      </c>
      <c r="B101" t="str">
        <f t="shared" ref="B101:B112" si="10">"Dachfläche ("&amp;A101&amp;")"</f>
        <v>Dachfläche (1)</v>
      </c>
      <c r="C101" t="str">
        <f t="shared" ref="C101:C112" si="11">CONCATENATE(B101,A$99)</f>
        <v>Dachfläche (1)P_TF_g.Min.</v>
      </c>
      <c r="D101">
        <f ca="1">IFERROR(VLOOKUP(C101,INDIRECT(CONCATENATE("'",B101,"'!D:E")),2,FALSE),"")</f>
        <v>0</v>
      </c>
      <c r="E101" s="4">
        <f t="shared" ref="E101:E106" ca="1" si="12">IFERROR(H101*J101,0)</f>
        <v>0</v>
      </c>
      <c r="F101" t="s">
        <v>52</v>
      </c>
      <c r="G101" s="50" t="str">
        <f t="shared" ref="G101:G106" ca="1" si="13">IFERROR(VLOOKUP("Typ",INDIRECT(CONCATENATE("'",B101,"'!D:E")),2,FALSE),"")</f>
        <v/>
      </c>
      <c r="H101" s="4" cm="1">
        <f t="array" aca="1" ref="H101" ca="1">IF(AND(D101&gt;=$B$78),
_xlfn.IFS(D101&lt;$C$78,D101*$D$78+$E$78,
D101&lt;$C$79,D101*$D$79+$E$79,
D101&lt;$C$80,D101*$D$80+$E$80,
D101&lt;$C$81,D101*$D$81+$E$81,
D101&lt;$C$82,D101*$D$82+$E$82)/D101,0)</f>
        <v>0</v>
      </c>
      <c r="I101" t="s">
        <v>52</v>
      </c>
      <c r="J101" s="13" cm="1">
        <f t="array" aca="1" ref="J101" ca="1">_xlfn.IFS(D101=0,0,G101="Fdg",$F$78,TRUE,1)</f>
        <v>0</v>
      </c>
      <c r="M101" s="79"/>
      <c r="N101" s="79"/>
      <c r="O101" s="79"/>
      <c r="P101" s="79"/>
      <c r="Q101" s="79"/>
      <c r="R101" s="79"/>
      <c r="S101" s="79"/>
      <c r="T101" s="79"/>
      <c r="U101" s="79"/>
      <c r="V101" s="79"/>
      <c r="W101" s="79"/>
      <c r="X101" s="79"/>
      <c r="Y101" s="79"/>
      <c r="Z101" s="79"/>
      <c r="AA101" s="79"/>
      <c r="AB101" s="79"/>
    </row>
    <row r="102" spans="1:28" ht="14.25" x14ac:dyDescent="0.2">
      <c r="A102">
        <v>2</v>
      </c>
      <c r="B102" t="str">
        <f t="shared" si="10"/>
        <v>Dachfläche (2)</v>
      </c>
      <c r="C102" t="str">
        <f t="shared" si="11"/>
        <v>Dachfläche (2)P_TF_g.Min.</v>
      </c>
      <c r="D102">
        <f t="shared" ref="D102:D106" ca="1" si="14">IFERROR(VLOOKUP(C102,INDIRECT(CONCATENATE("'",B102,"'!D:E")),2,FALSE),"")</f>
        <v>0</v>
      </c>
      <c r="E102" s="4">
        <f t="shared" ca="1" si="12"/>
        <v>0</v>
      </c>
      <c r="F102" t="s">
        <v>52</v>
      </c>
      <c r="G102" s="50" t="str">
        <f t="shared" ca="1" si="13"/>
        <v/>
      </c>
      <c r="H102" s="4" cm="1">
        <f t="array" aca="1" ref="H102" ca="1">IF(AND(D102&gt;=$B$78),
_xlfn.IFS(D102&lt;$C$78,D102*$D$78+$E$78,
D102&lt;$C$79,D102*$D$79+$E$79,
D102&lt;$C$80,D102*$D$80+$E$80,
D102&lt;$C$81,D102*$D$81+$E$81,
D102&lt;$C$82,D102*$D$82+$E$82)/D102,0)</f>
        <v>0</v>
      </c>
      <c r="I102" t="s">
        <v>52</v>
      </c>
      <c r="J102" s="13" cm="1">
        <f t="array" aca="1" ref="J102" ca="1">_xlfn.IFS(D102=0,0,G102="Fdg",$F$78,TRUE,1)</f>
        <v>0</v>
      </c>
      <c r="M102" s="79"/>
      <c r="N102" s="79"/>
      <c r="O102" s="79"/>
      <c r="P102" s="79"/>
      <c r="Q102" s="79"/>
      <c r="R102" s="79"/>
      <c r="S102" s="79"/>
      <c r="T102" s="79"/>
      <c r="U102" s="79"/>
      <c r="V102" s="79"/>
      <c r="W102" s="79"/>
      <c r="X102" s="79"/>
      <c r="Y102" s="79"/>
      <c r="Z102" s="79"/>
      <c r="AA102" s="79"/>
      <c r="AB102" s="79"/>
    </row>
    <row r="103" spans="1:28" ht="14.25" x14ac:dyDescent="0.2">
      <c r="A103">
        <v>3</v>
      </c>
      <c r="B103" t="str">
        <f t="shared" si="10"/>
        <v>Dachfläche (3)</v>
      </c>
      <c r="C103" t="str">
        <f t="shared" si="11"/>
        <v>Dachfläche (3)P_TF_g.Min.</v>
      </c>
      <c r="D103">
        <f t="shared" ca="1" si="14"/>
        <v>0</v>
      </c>
      <c r="E103" s="4">
        <f t="shared" ca="1" si="12"/>
        <v>0</v>
      </c>
      <c r="F103" t="s">
        <v>52</v>
      </c>
      <c r="G103" s="50" t="str">
        <f t="shared" ca="1" si="13"/>
        <v/>
      </c>
      <c r="H103" s="4" cm="1">
        <f t="array" aca="1" ref="H103" ca="1">IF(AND(D103&gt;=$B$78),
_xlfn.IFS(D103&lt;$C$78,D103*$D$78+$E$78,
D103&lt;$C$79,D103*$D$79+$E$79,
D103&lt;$C$80,D103*$D$80+$E$80,
D103&lt;$C$81,D103*$D$81+$E$81,
D103&lt;$C$82,D103*$D$82+$E$82)/D103,0)</f>
        <v>0</v>
      </c>
      <c r="I103" t="s">
        <v>52</v>
      </c>
      <c r="J103" s="13" cm="1">
        <f t="array" aca="1" ref="J103" ca="1">_xlfn.IFS(D103=0,0,G103="Fdg",$F$78,TRUE,1)</f>
        <v>0</v>
      </c>
      <c r="M103" s="79"/>
      <c r="N103" s="79"/>
      <c r="O103" s="79"/>
      <c r="P103" s="79"/>
      <c r="Q103" s="79"/>
      <c r="R103" s="79"/>
      <c r="S103" s="79"/>
      <c r="T103" s="79"/>
      <c r="U103" s="79"/>
      <c r="V103" s="79"/>
      <c r="W103" s="79"/>
      <c r="X103" s="79"/>
      <c r="Y103" s="79"/>
      <c r="Z103" s="79"/>
      <c r="AA103" s="79"/>
      <c r="AB103" s="79"/>
    </row>
    <row r="104" spans="1:28" ht="14.25" x14ac:dyDescent="0.2">
      <c r="A104">
        <v>4</v>
      </c>
      <c r="B104" t="str">
        <f t="shared" si="10"/>
        <v>Dachfläche (4)</v>
      </c>
      <c r="C104" t="str">
        <f t="shared" si="11"/>
        <v>Dachfläche (4)P_TF_g.Min.</v>
      </c>
      <c r="D104">
        <f t="shared" ca="1" si="14"/>
        <v>0</v>
      </c>
      <c r="E104" s="4">
        <f t="shared" ca="1" si="12"/>
        <v>0</v>
      </c>
      <c r="F104" t="s">
        <v>52</v>
      </c>
      <c r="G104" s="50" t="str">
        <f t="shared" ca="1" si="13"/>
        <v/>
      </c>
      <c r="H104" s="4" cm="1">
        <f t="array" aca="1" ref="H104" ca="1">IF(AND(D104&gt;=$B$78),
_xlfn.IFS(D104&lt;$C$78,D104*$D$78+$E$78,
D104&lt;$C$79,D104*$D$79+$E$79,
D104&lt;$C$80,D104*$D$80+$E$80,
D104&lt;$C$81,D104*$D$81+$E$81,
D104&lt;$C$82,D104*$D$82+$E$82)/D104,0)</f>
        <v>0</v>
      </c>
      <c r="I104" t="s">
        <v>52</v>
      </c>
      <c r="J104" s="13" cm="1">
        <f t="array" aca="1" ref="J104" ca="1">_xlfn.IFS(D104=0,0,G104="Fdg",$F$78,TRUE,1)</f>
        <v>0</v>
      </c>
      <c r="M104" s="79"/>
      <c r="N104" s="79"/>
      <c r="O104" s="79"/>
      <c r="P104" s="79"/>
      <c r="Q104" s="79"/>
      <c r="R104" s="79"/>
      <c r="S104" s="79"/>
      <c r="T104" s="79"/>
      <c r="U104" s="79"/>
      <c r="V104" s="79"/>
      <c r="W104" s="79"/>
      <c r="X104" s="79"/>
      <c r="Y104" s="79"/>
      <c r="Z104" s="79"/>
      <c r="AA104" s="79"/>
      <c r="AB104" s="79"/>
    </row>
    <row r="105" spans="1:28" ht="14.25" x14ac:dyDescent="0.2">
      <c r="A105">
        <v>5</v>
      </c>
      <c r="B105" t="str">
        <f t="shared" si="10"/>
        <v>Dachfläche (5)</v>
      </c>
      <c r="C105" t="str">
        <f t="shared" si="11"/>
        <v>Dachfläche (5)P_TF_g.Min.</v>
      </c>
      <c r="D105">
        <f t="shared" ca="1" si="14"/>
        <v>0</v>
      </c>
      <c r="E105" s="4">
        <f t="shared" ca="1" si="12"/>
        <v>0</v>
      </c>
      <c r="F105" t="s">
        <v>52</v>
      </c>
      <c r="G105" s="50" t="str">
        <f t="shared" ca="1" si="13"/>
        <v/>
      </c>
      <c r="H105" s="4" cm="1">
        <f t="array" aca="1" ref="H105" ca="1">IF(AND(D105&gt;=$B$78),
_xlfn.IFS(D105&lt;$C$78,D105*$D$78+$E$78,
D105&lt;$C$79,D105*$D$79+$E$79,
D105&lt;$C$80,D105*$D$80+$E$80,
D105&lt;$C$81,D105*$D$81+$E$81,
D105&lt;$C$82,D105*$D$82+$E$82)/D105,0)</f>
        <v>0</v>
      </c>
      <c r="I105" t="s">
        <v>52</v>
      </c>
      <c r="J105" s="13" cm="1">
        <f t="array" aca="1" ref="J105" ca="1">_xlfn.IFS(D105=0,0,G105="Fdg",$F$78,TRUE,1)</f>
        <v>0</v>
      </c>
      <c r="M105" s="79"/>
      <c r="N105" s="79"/>
      <c r="O105" s="79"/>
      <c r="P105" s="79"/>
      <c r="Q105" s="79"/>
      <c r="R105" s="79"/>
      <c r="S105" s="79"/>
      <c r="T105" s="79"/>
      <c r="U105" s="79"/>
      <c r="V105" s="79"/>
      <c r="W105" s="79"/>
      <c r="X105" s="79"/>
      <c r="Y105" s="79"/>
      <c r="Z105" s="79"/>
      <c r="AA105" s="79"/>
      <c r="AB105" s="79"/>
    </row>
    <row r="106" spans="1:28" ht="14.25" x14ac:dyDescent="0.2">
      <c r="A106">
        <v>6</v>
      </c>
      <c r="B106" t="str">
        <f t="shared" si="10"/>
        <v>Dachfläche (6)</v>
      </c>
      <c r="C106" t="str">
        <f t="shared" si="11"/>
        <v>Dachfläche (6)P_TF_g.Min.</v>
      </c>
      <c r="D106">
        <f t="shared" ca="1" si="14"/>
        <v>0</v>
      </c>
      <c r="E106" s="4">
        <f t="shared" ca="1" si="12"/>
        <v>0</v>
      </c>
      <c r="F106" t="s">
        <v>52</v>
      </c>
      <c r="G106" s="50" t="str">
        <f t="shared" ca="1" si="13"/>
        <v/>
      </c>
      <c r="H106" s="4" cm="1">
        <f t="array" aca="1" ref="H106" ca="1">IF(AND(D106&gt;=$B$78),
_xlfn.IFS(D106&lt;$C$78,D106*$D$78+$E$78,
D106&lt;$C$79,D106*$D$79+$E$79,
D106&lt;$C$80,D106*$D$80+$E$80,
D106&lt;$C$81,D106*$D$81+$E$81,
D106&lt;$C$82,D106*$D$82+$E$82)/D106,0)</f>
        <v>0</v>
      </c>
      <c r="I106" t="s">
        <v>52</v>
      </c>
      <c r="J106" s="13" cm="1">
        <f t="array" aca="1" ref="J106" ca="1">_xlfn.IFS(D106=0,0,G106="Fdg",$F$78,TRUE,1)</f>
        <v>0</v>
      </c>
      <c r="M106" s="79"/>
      <c r="N106" s="79"/>
      <c r="O106" s="79"/>
      <c r="P106" s="79"/>
      <c r="Q106" s="79"/>
      <c r="R106" s="79"/>
      <c r="S106" s="79"/>
      <c r="T106" s="79"/>
      <c r="U106" s="79"/>
      <c r="V106" s="79"/>
      <c r="W106" s="79"/>
      <c r="X106" s="79"/>
      <c r="Y106" s="79"/>
      <c r="Z106" s="79"/>
      <c r="AA106" s="79"/>
      <c r="AB106" s="79"/>
    </row>
    <row r="107" spans="1:28" ht="14.25" x14ac:dyDescent="0.2">
      <c r="A107">
        <v>7</v>
      </c>
      <c r="B107" t="str">
        <f t="shared" si="10"/>
        <v>Dachfläche (7)</v>
      </c>
      <c r="C107" t="str">
        <f t="shared" si="11"/>
        <v>Dachfläche (7)P_TF_g.Min.</v>
      </c>
      <c r="E107" s="4"/>
      <c r="G107" s="50"/>
      <c r="H107" s="4"/>
      <c r="J107" s="13"/>
      <c r="M107" s="79"/>
      <c r="N107" s="79"/>
      <c r="O107" s="79"/>
      <c r="P107" s="79"/>
      <c r="Q107" s="79"/>
      <c r="R107" s="79"/>
      <c r="S107" s="79"/>
      <c r="T107" s="79"/>
      <c r="U107" s="79"/>
      <c r="V107" s="79"/>
      <c r="W107" s="79"/>
      <c r="X107" s="79"/>
      <c r="Y107" s="79"/>
      <c r="Z107" s="79"/>
      <c r="AA107" s="79"/>
      <c r="AB107" s="79"/>
    </row>
    <row r="108" spans="1:28" ht="14.25" x14ac:dyDescent="0.2">
      <c r="A108">
        <v>8</v>
      </c>
      <c r="B108" t="str">
        <f t="shared" si="10"/>
        <v>Dachfläche (8)</v>
      </c>
      <c r="C108" t="str">
        <f t="shared" si="11"/>
        <v>Dachfläche (8)P_TF_g.Min.</v>
      </c>
      <c r="E108" s="4"/>
      <c r="G108" s="50"/>
      <c r="H108" s="4"/>
      <c r="J108" s="13"/>
      <c r="M108" s="79"/>
      <c r="N108" s="79"/>
      <c r="O108" s="79"/>
      <c r="P108" s="79"/>
      <c r="Q108" s="79"/>
      <c r="R108" s="79"/>
      <c r="S108" s="79"/>
      <c r="T108" s="79"/>
      <c r="U108" s="79"/>
      <c r="V108" s="79"/>
      <c r="W108" s="79"/>
      <c r="X108" s="79"/>
      <c r="Y108" s="79"/>
      <c r="Z108" s="79"/>
      <c r="AA108" s="79"/>
      <c r="AB108" s="79"/>
    </row>
    <row r="109" spans="1:28" ht="14.25" x14ac:dyDescent="0.2">
      <c r="A109">
        <v>9</v>
      </c>
      <c r="B109" t="str">
        <f t="shared" si="10"/>
        <v>Dachfläche (9)</v>
      </c>
      <c r="C109" t="str">
        <f t="shared" si="11"/>
        <v>Dachfläche (9)P_TF_g.Min.</v>
      </c>
      <c r="E109" s="4"/>
      <c r="G109" s="50"/>
      <c r="H109" s="4"/>
      <c r="J109" s="13"/>
      <c r="M109" s="79"/>
      <c r="N109" s="79"/>
      <c r="O109" s="79"/>
      <c r="P109" s="79"/>
      <c r="Q109" s="79"/>
      <c r="R109" s="79"/>
      <c r="S109" s="79"/>
      <c r="T109" s="79"/>
      <c r="U109" s="79"/>
      <c r="V109" s="79"/>
      <c r="W109" s="79"/>
      <c r="X109" s="79"/>
      <c r="Y109" s="79"/>
      <c r="Z109" s="79"/>
      <c r="AA109" s="79"/>
      <c r="AB109" s="79"/>
    </row>
    <row r="110" spans="1:28" ht="14.25" x14ac:dyDescent="0.2">
      <c r="A110">
        <v>10</v>
      </c>
      <c r="B110" t="str">
        <f t="shared" si="10"/>
        <v>Dachfläche (10)</v>
      </c>
      <c r="C110" t="str">
        <f t="shared" si="11"/>
        <v>Dachfläche (10)P_TF_g.Min.</v>
      </c>
      <c r="E110" s="4"/>
      <c r="G110" s="50"/>
      <c r="H110" s="4"/>
      <c r="J110" s="13"/>
      <c r="M110" s="79"/>
      <c r="N110" s="79"/>
      <c r="O110" s="79"/>
      <c r="P110" s="79"/>
      <c r="Q110" s="79"/>
      <c r="R110" s="79"/>
      <c r="S110" s="79"/>
      <c r="T110" s="79"/>
      <c r="U110" s="79"/>
      <c r="V110" s="79"/>
      <c r="W110" s="79"/>
      <c r="X110" s="79"/>
      <c r="Y110" s="79"/>
      <c r="Z110" s="79"/>
      <c r="AA110" s="79"/>
      <c r="AB110" s="79"/>
    </row>
    <row r="111" spans="1:28" ht="14.25" x14ac:dyDescent="0.2">
      <c r="A111">
        <v>11</v>
      </c>
      <c r="B111" t="str">
        <f t="shared" si="10"/>
        <v>Dachfläche (11)</v>
      </c>
      <c r="C111" t="str">
        <f t="shared" si="11"/>
        <v>Dachfläche (11)P_TF_g.Min.</v>
      </c>
      <c r="E111" s="4"/>
      <c r="G111" s="50"/>
      <c r="H111" s="4"/>
      <c r="J111" s="13"/>
      <c r="M111" s="79"/>
      <c r="N111" s="79"/>
      <c r="O111" s="79"/>
      <c r="P111" s="79"/>
      <c r="Q111" s="79"/>
      <c r="R111" s="79"/>
      <c r="S111" s="79"/>
      <c r="T111" s="79"/>
      <c r="U111" s="79"/>
      <c r="V111" s="79"/>
      <c r="W111" s="79"/>
      <c r="X111" s="79"/>
      <c r="Y111" s="79"/>
      <c r="Z111" s="79"/>
      <c r="AA111" s="79"/>
      <c r="AB111" s="79"/>
    </row>
    <row r="112" spans="1:28" ht="14.25" x14ac:dyDescent="0.2">
      <c r="A112">
        <v>12</v>
      </c>
      <c r="B112" t="str">
        <f t="shared" si="10"/>
        <v>Dachfläche (12)</v>
      </c>
      <c r="C112" t="str">
        <f t="shared" si="11"/>
        <v>Dachfläche (12)P_TF_g.Min.</v>
      </c>
      <c r="E112" s="4"/>
      <c r="G112" s="50"/>
      <c r="H112" s="4"/>
      <c r="J112" s="13"/>
      <c r="M112" s="79"/>
      <c r="N112" s="79"/>
      <c r="O112" s="79"/>
      <c r="P112" s="79"/>
      <c r="Q112" s="79"/>
      <c r="R112" s="79"/>
      <c r="S112" s="79"/>
      <c r="T112" s="79"/>
      <c r="U112" s="79"/>
      <c r="V112" s="79"/>
      <c r="W112" s="79"/>
      <c r="X112" s="79"/>
      <c r="Y112" s="79"/>
      <c r="Z112" s="79"/>
      <c r="AA112" s="79"/>
      <c r="AB112" s="79"/>
    </row>
    <row r="114" spans="1:22" x14ac:dyDescent="0.2">
      <c r="A114" s="15" t="s">
        <v>129</v>
      </c>
      <c r="B114" s="15"/>
      <c r="C114" s="15"/>
      <c r="D114" s="15"/>
      <c r="E114" s="15"/>
      <c r="F114" s="15"/>
      <c r="G114" s="15"/>
      <c r="H114" s="15"/>
      <c r="I114" s="15"/>
      <c r="J114" s="15"/>
      <c r="K114" s="141"/>
      <c r="L114" s="141"/>
      <c r="M114" s="15"/>
      <c r="N114" s="15"/>
      <c r="O114" s="15"/>
      <c r="P114" s="15"/>
      <c r="Q114" s="15"/>
      <c r="R114" s="15"/>
      <c r="S114" s="15"/>
      <c r="T114" s="145">
        <v>45931</v>
      </c>
      <c r="U114" s="148" t="s">
        <v>170</v>
      </c>
      <c r="V114" s="149" t="s">
        <v>172</v>
      </c>
    </row>
    <row r="115" spans="1:22" x14ac:dyDescent="0.2">
      <c r="B115" t="s">
        <v>211</v>
      </c>
      <c r="D115" s="117">
        <v>45748</v>
      </c>
    </row>
    <row r="116" spans="1:22" x14ac:dyDescent="0.2">
      <c r="B116" t="s">
        <v>89</v>
      </c>
      <c r="D116" s="40">
        <v>1</v>
      </c>
      <c r="E116" t="s">
        <v>38</v>
      </c>
      <c r="T116" t="s">
        <v>260</v>
      </c>
    </row>
    <row r="117" spans="1:22" x14ac:dyDescent="0.2">
      <c r="B117" t="s">
        <v>147</v>
      </c>
      <c r="D117" s="45">
        <v>0</v>
      </c>
      <c r="E117" s="47">
        <v>5</v>
      </c>
    </row>
    <row r="118" spans="1:22" x14ac:dyDescent="0.2">
      <c r="B118" t="s">
        <v>208</v>
      </c>
      <c r="D118" s="45">
        <v>0</v>
      </c>
    </row>
    <row r="119" spans="1:22" x14ac:dyDescent="0.2">
      <c r="B119" t="str">
        <f>"Leistungsbeitrag  &lt; "&amp;E119&amp;" kVA"</f>
        <v>Leistungsbeitrag  &lt; 30 kVA</v>
      </c>
      <c r="D119" s="46">
        <v>360</v>
      </c>
      <c r="E119" s="47">
        <v>30</v>
      </c>
    </row>
    <row r="120" spans="1:22" x14ac:dyDescent="0.2">
      <c r="B120" t="str">
        <f>"Leistungsbeitrag "&amp;E119&amp;" - "&amp;E120&amp;" kVA"</f>
        <v>Leistungsbeitrag 30 - 100 kVA</v>
      </c>
      <c r="D120" s="46">
        <v>300</v>
      </c>
      <c r="E120" s="47">
        <v>100</v>
      </c>
    </row>
    <row r="121" spans="1:22" x14ac:dyDescent="0.2">
      <c r="B121" t="str">
        <f>"Leistungsbeitrag &gt; "&amp;E120&amp;" kVA"</f>
        <v>Leistungsbeitrag &gt; 100 kVA</v>
      </c>
      <c r="D121" s="46">
        <v>250</v>
      </c>
      <c r="E121" s="47">
        <v>5000</v>
      </c>
    </row>
    <row r="122" spans="1:22" x14ac:dyDescent="0.2">
      <c r="B122" t="s">
        <v>212</v>
      </c>
      <c r="D122" s="46">
        <v>200</v>
      </c>
      <c r="E122" s="121">
        <v>75</v>
      </c>
      <c r="F122" t="s">
        <v>259</v>
      </c>
    </row>
    <row r="123" spans="1:22" x14ac:dyDescent="0.2">
      <c r="B123" t="s">
        <v>224</v>
      </c>
      <c r="D123" s="46">
        <v>250</v>
      </c>
      <c r="E123" s="47">
        <v>100</v>
      </c>
      <c r="F123" t="s">
        <v>258</v>
      </c>
    </row>
    <row r="125" spans="1:22" x14ac:dyDescent="0.2">
      <c r="B125" t="s">
        <v>423</v>
      </c>
      <c r="D125" s="246">
        <f ca="1">_Anlageleistung_t.Vb.</f>
        <v>0</v>
      </c>
      <c r="E125" t="s">
        <v>102</v>
      </c>
    </row>
    <row r="126" spans="1:22" x14ac:dyDescent="0.2">
      <c r="B126" t="s">
        <v>425</v>
      </c>
      <c r="D126" s="4">
        <f ca="1">IF(AND(D125&gt;2,D125&lt;5),$D$117,0)</f>
        <v>0</v>
      </c>
    </row>
    <row r="127" spans="1:22" x14ac:dyDescent="0.2">
      <c r="B127" t="s">
        <v>426</v>
      </c>
      <c r="D127" s="4">
        <f ca="1">IF(D125&gt;=$E$117,$D$118,0)</f>
        <v>0</v>
      </c>
    </row>
    <row r="128" spans="1:22" x14ac:dyDescent="0.2">
      <c r="B128" t="s">
        <v>427</v>
      </c>
      <c r="D128" s="4">
        <f ca="1">MIN(D125,$E$119)*$D$119</f>
        <v>0</v>
      </c>
    </row>
    <row r="129" spans="1:22" x14ac:dyDescent="0.2">
      <c r="B129" t="s">
        <v>428</v>
      </c>
      <c r="D129" s="4">
        <f ca="1">MIN(D125-$E$119,$E$120-$E$119)*$D$120</f>
        <v>-9000</v>
      </c>
    </row>
    <row r="130" spans="1:22" x14ac:dyDescent="0.2">
      <c r="B130" t="s">
        <v>429</v>
      </c>
      <c r="D130" s="4">
        <f ca="1">MIN($D125-$E$120,$E$121)*$D$121</f>
        <v>-25000</v>
      </c>
    </row>
    <row r="131" spans="1:22" ht="15" x14ac:dyDescent="0.25">
      <c r="B131" s="215" t="s">
        <v>424</v>
      </c>
      <c r="C131" s="215"/>
      <c r="D131" s="249">
        <f ca="1">SUMIF(D126:D130,"&gt;0",D126:D130)</f>
        <v>0</v>
      </c>
    </row>
    <row r="133" spans="1:22" x14ac:dyDescent="0.2">
      <c r="B133" t="s">
        <v>430</v>
      </c>
      <c r="D133" s="246">
        <f ca="1">_Anlageleistung_g.Min.</f>
        <v>0</v>
      </c>
      <c r="E133" t="s">
        <v>102</v>
      </c>
    </row>
    <row r="134" spans="1:22" x14ac:dyDescent="0.2">
      <c r="B134" t="s">
        <v>425</v>
      </c>
      <c r="D134" s="4">
        <f ca="1">IF(AND(D133&gt;2,D133&lt;5),$D$117,0)</f>
        <v>0</v>
      </c>
    </row>
    <row r="135" spans="1:22" x14ac:dyDescent="0.2">
      <c r="B135" t="s">
        <v>426</v>
      </c>
      <c r="D135" s="4">
        <f ca="1">IF(D133&gt;=$E$117,$D$118,0)</f>
        <v>0</v>
      </c>
    </row>
    <row r="136" spans="1:22" x14ac:dyDescent="0.2">
      <c r="B136" t="s">
        <v>427</v>
      </c>
      <c r="D136" s="4">
        <f ca="1">MIN(D133,$E$119)*$D$119</f>
        <v>0</v>
      </c>
    </row>
    <row r="137" spans="1:22" x14ac:dyDescent="0.2">
      <c r="B137" t="s">
        <v>428</v>
      </c>
      <c r="D137" s="4">
        <f ca="1">MIN(D133-$E$119,$E$120-$E$119)*$D$120</f>
        <v>-9000</v>
      </c>
    </row>
    <row r="138" spans="1:22" x14ac:dyDescent="0.2">
      <c r="B138" t="s">
        <v>429</v>
      </c>
      <c r="D138" s="4">
        <f ca="1">MIN($D133-$E$120,$E$121)*$D$121</f>
        <v>-25000</v>
      </c>
    </row>
    <row r="139" spans="1:22" ht="15" x14ac:dyDescent="0.25">
      <c r="B139" s="215" t="s">
        <v>431</v>
      </c>
      <c r="C139" s="215"/>
      <c r="D139" s="249">
        <f ca="1">SUMIF(D134:D138,"&gt;0",D134:D138)</f>
        <v>0</v>
      </c>
    </row>
    <row r="141" spans="1:22" x14ac:dyDescent="0.2">
      <c r="A141" s="15" t="s">
        <v>130</v>
      </c>
      <c r="B141" s="15"/>
      <c r="C141" s="15"/>
      <c r="D141" s="15"/>
      <c r="E141" s="15"/>
      <c r="F141" s="15"/>
      <c r="G141" s="15"/>
      <c r="H141" s="15"/>
      <c r="I141" s="15"/>
      <c r="J141" s="15"/>
      <c r="K141" s="141"/>
      <c r="L141" s="141"/>
      <c r="M141" s="15"/>
      <c r="N141" s="15"/>
      <c r="O141" s="15"/>
      <c r="P141" s="15"/>
      <c r="Q141" s="15"/>
      <c r="R141" s="15"/>
      <c r="S141" s="15"/>
      <c r="T141" s="145">
        <v>45931</v>
      </c>
      <c r="U141" s="148" t="s">
        <v>170</v>
      </c>
      <c r="V141" s="149" t="s">
        <v>172</v>
      </c>
    </row>
    <row r="142" spans="1:22" x14ac:dyDescent="0.2">
      <c r="B142" t="s">
        <v>89</v>
      </c>
      <c r="D142" s="40">
        <v>1</v>
      </c>
      <c r="E142" t="s">
        <v>38</v>
      </c>
    </row>
    <row r="143" spans="1:22" x14ac:dyDescent="0.2">
      <c r="B143" t="s">
        <v>131</v>
      </c>
      <c r="D143" s="40">
        <v>20</v>
      </c>
      <c r="E143" t="s">
        <v>5</v>
      </c>
      <c r="F143" t="s">
        <v>213</v>
      </c>
    </row>
    <row r="144" spans="1:22" ht="16.5" x14ac:dyDescent="0.2">
      <c r="B144" t="s">
        <v>281</v>
      </c>
      <c r="D144" s="42">
        <v>100</v>
      </c>
      <c r="E144" t="s">
        <v>215</v>
      </c>
      <c r="F144" t="s">
        <v>132</v>
      </c>
    </row>
    <row r="145" spans="1:22" x14ac:dyDescent="0.2">
      <c r="B145" t="s">
        <v>282</v>
      </c>
      <c r="D145" s="42">
        <v>300</v>
      </c>
      <c r="E145" t="s">
        <v>52</v>
      </c>
    </row>
    <row r="146" spans="1:22" x14ac:dyDescent="0.2">
      <c r="B146" t="s">
        <v>280</v>
      </c>
      <c r="D146" s="42">
        <v>200</v>
      </c>
      <c r="E146" t="s">
        <v>52</v>
      </c>
    </row>
    <row r="148" spans="1:22" x14ac:dyDescent="0.2">
      <c r="A148" s="15" t="s">
        <v>266</v>
      </c>
      <c r="B148" s="15" t="s">
        <v>267</v>
      </c>
      <c r="C148" s="15"/>
      <c r="D148" s="15"/>
      <c r="E148" s="15"/>
      <c r="F148" s="15"/>
      <c r="G148" s="15"/>
      <c r="H148" s="15"/>
      <c r="I148" s="15"/>
      <c r="J148" s="15"/>
      <c r="K148" s="141"/>
      <c r="L148" s="141"/>
      <c r="M148" s="15"/>
      <c r="N148" s="15"/>
      <c r="O148" s="15"/>
      <c r="P148" s="15"/>
      <c r="Q148" s="15"/>
      <c r="R148" s="15"/>
      <c r="S148" s="15"/>
      <c r="T148" s="15"/>
      <c r="U148" s="15"/>
      <c r="V148" s="15"/>
    </row>
    <row r="149" spans="1:22" x14ac:dyDescent="0.2">
      <c r="B149" t="s">
        <v>268</v>
      </c>
    </row>
    <row r="151" spans="1:22" x14ac:dyDescent="0.2">
      <c r="A151" s="15" t="s">
        <v>251</v>
      </c>
      <c r="B151" s="15" t="s">
        <v>419</v>
      </c>
      <c r="C151" s="15" t="s">
        <v>301</v>
      </c>
      <c r="D151" s="15"/>
      <c r="E151" s="15"/>
      <c r="F151" s="15"/>
      <c r="G151" s="15"/>
      <c r="H151" s="15"/>
      <c r="I151" s="15"/>
      <c r="J151" s="15"/>
      <c r="K151" s="141"/>
      <c r="L151" s="141"/>
      <c r="M151" s="15"/>
      <c r="N151" s="15"/>
      <c r="O151" s="15"/>
      <c r="P151" s="15"/>
      <c r="Q151" s="15"/>
      <c r="R151" s="15"/>
      <c r="S151" s="15"/>
      <c r="T151" s="15"/>
      <c r="U151" s="15"/>
      <c r="V151" s="15"/>
    </row>
    <row r="152" spans="1:22" x14ac:dyDescent="0.2">
      <c r="B152" t="s">
        <v>420</v>
      </c>
      <c r="C152" t="s">
        <v>304</v>
      </c>
    </row>
    <row r="153" spans="1:22" x14ac:dyDescent="0.2">
      <c r="B153" t="s">
        <v>421</v>
      </c>
      <c r="C153" t="s">
        <v>302</v>
      </c>
    </row>
    <row r="154" spans="1:22" x14ac:dyDescent="0.2">
      <c r="B154" t="s">
        <v>422</v>
      </c>
      <c r="C154" t="s">
        <v>303</v>
      </c>
    </row>
    <row r="157" spans="1:22" ht="15" x14ac:dyDescent="0.25">
      <c r="A157" s="15" t="s">
        <v>261</v>
      </c>
      <c r="B157" s="15" t="s">
        <v>274</v>
      </c>
      <c r="C157" s="15" t="s">
        <v>275</v>
      </c>
      <c r="D157" s="15"/>
      <c r="E157" s="15"/>
      <c r="F157" s="15"/>
      <c r="G157" s="15"/>
      <c r="H157" s="15"/>
      <c r="I157" s="15"/>
      <c r="J157" s="15"/>
      <c r="K157" s="141"/>
      <c r="L157" s="141"/>
      <c r="M157" s="15"/>
      <c r="N157" s="15"/>
      <c r="O157" s="15"/>
      <c r="P157" s="15"/>
      <c r="Q157" s="15"/>
      <c r="R157" s="15"/>
      <c r="S157" s="15"/>
      <c r="T157" s="15"/>
      <c r="U157" s="15"/>
      <c r="V157" s="15"/>
    </row>
    <row r="158" spans="1:22" x14ac:dyDescent="0.2">
      <c r="B158" t="s">
        <v>273</v>
      </c>
      <c r="C158" t="s">
        <v>276</v>
      </c>
    </row>
    <row r="159" spans="1:22" x14ac:dyDescent="0.2">
      <c r="B159" t="s">
        <v>272</v>
      </c>
      <c r="C159" t="s">
        <v>277</v>
      </c>
    </row>
    <row r="160" spans="1:22" x14ac:dyDescent="0.2">
      <c r="K160"/>
      <c r="L160"/>
    </row>
    <row r="161" spans="1:22" x14ac:dyDescent="0.2">
      <c r="A161" s="15" t="s">
        <v>295</v>
      </c>
      <c r="B161" s="15" t="s">
        <v>296</v>
      </c>
      <c r="C161" s="15"/>
      <c r="D161" s="15"/>
      <c r="E161" s="15"/>
      <c r="F161" s="15"/>
      <c r="G161" s="15"/>
      <c r="H161" s="15"/>
      <c r="I161" s="15"/>
      <c r="J161" s="15"/>
      <c r="K161" s="141"/>
      <c r="L161" s="141"/>
      <c r="M161" s="15"/>
      <c r="N161" s="15"/>
      <c r="O161" s="15"/>
      <c r="P161" s="15"/>
      <c r="Q161" s="15"/>
      <c r="R161" s="15"/>
      <c r="S161" s="15"/>
      <c r="T161" s="15"/>
      <c r="U161" s="15"/>
      <c r="V161" s="15"/>
    </row>
    <row r="162" spans="1:22" x14ac:dyDescent="0.2">
      <c r="B162" t="s">
        <v>297</v>
      </c>
    </row>
    <row r="164" spans="1:22" x14ac:dyDescent="0.2">
      <c r="A164" s="15" t="s">
        <v>356</v>
      </c>
      <c r="B164" s="15" t="s">
        <v>412</v>
      </c>
      <c r="C164" s="15"/>
      <c r="D164" s="15"/>
      <c r="E164" s="15"/>
      <c r="F164" s="15"/>
      <c r="G164" s="15"/>
      <c r="H164" s="15"/>
      <c r="I164" s="15"/>
      <c r="J164" s="15"/>
      <c r="K164" s="141"/>
      <c r="L164" s="141"/>
      <c r="M164" s="15"/>
      <c r="N164" s="15"/>
      <c r="O164" s="15"/>
      <c r="P164" s="15"/>
      <c r="Q164" s="15"/>
      <c r="R164" s="15"/>
      <c r="S164" s="15"/>
      <c r="T164" s="15"/>
      <c r="U164" s="15"/>
      <c r="V164" s="15"/>
    </row>
    <row r="165" spans="1:22" x14ac:dyDescent="0.2">
      <c r="B165" t="s">
        <v>413</v>
      </c>
    </row>
    <row r="166" spans="1:22" x14ac:dyDescent="0.2">
      <c r="B166" t="s">
        <v>358</v>
      </c>
      <c r="C166" t="b">
        <f>'3 Bericht'!M5=B164</f>
        <v>0</v>
      </c>
      <c r="K166"/>
      <c r="L166"/>
    </row>
    <row r="167" spans="1:22" x14ac:dyDescent="0.2">
      <c r="B167" t="s">
        <v>127</v>
      </c>
      <c r="C167">
        <f>IF(NOT(_MWSt_pflichtig),(100+_MWSt_Satz)/100,1)</f>
        <v>1.081</v>
      </c>
      <c r="D167" t="s">
        <v>411</v>
      </c>
    </row>
  </sheetData>
  <sheetProtection algorithmName="SHA-512" hashValue="0DN/R2Fvc0wvmjxaVTFqNVBVtOLpoy2Ako8i6sIeXQW1ieniolOW6vwIaqQbbeTZZ79Farny1eUh25/eUfNjdQ==" saltValue="0MET8fcmSDmJGfp81vnASw==" spinCount="100000" sheet="1" objects="1" scenarios="1" selectLockedCells="1" autoFilter="0"/>
  <mergeCells count="6">
    <mergeCell ref="P61:P65"/>
    <mergeCell ref="K48:R49"/>
    <mergeCell ref="D5:F5"/>
    <mergeCell ref="H48:I48"/>
    <mergeCell ref="D21:E21"/>
    <mergeCell ref="D30:E30"/>
  </mergeCells>
  <phoneticPr fontId="25" type="noConversion"/>
  <hyperlinks>
    <hyperlink ref="S52" r:id="rId1" xr:uid="{047DD919-BF80-4E0A-8232-3238781C61BF}"/>
    <hyperlink ref="S51" r:id="rId2" location="die-ruecklieferverguetung" xr:uid="{39ABCDAD-FC23-49D8-8E50-FE720A15E34C}"/>
    <hyperlink ref="N56" r:id="rId3" xr:uid="{0BA3250F-EB0C-4697-8A7D-8F6EAC69594E}"/>
    <hyperlink ref="S56" r:id="rId4" xr:uid="{18D54DC1-147E-4631-8CF7-AFE57A4FA00D}"/>
    <hyperlink ref="W70" r:id="rId5" xr:uid="{2F7E99D4-899E-4B9B-9B02-A382A739D5E3}"/>
  </hyperlinks>
  <pageMargins left="0.7" right="0.7" top="0.78740157499999996" bottom="0.78740157499999996" header="0.3" footer="0.3"/>
  <pageSetup paperSize="9" orientation="portrait" r:id="rId6"/>
  <drawing r:id="rId7"/>
  <legacyDrawing r:id="rId8"/>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Q123"/>
  <sheetViews>
    <sheetView workbookViewId="0">
      <selection activeCell="B73" sqref="B73"/>
    </sheetView>
  </sheetViews>
  <sheetFormatPr baseColWidth="10" defaultRowHeight="12.75" x14ac:dyDescent="0.2"/>
  <cols>
    <col min="2" max="2" width="11.42578125" customWidth="1"/>
    <col min="3" max="3" width="12.42578125" customWidth="1"/>
    <col min="4" max="7" width="16.42578125" customWidth="1"/>
    <col min="8" max="8" width="19.140625" customWidth="1"/>
    <col min="9" max="12" width="15.85546875" customWidth="1"/>
    <col min="13" max="13" width="17.28515625" customWidth="1"/>
    <col min="14" max="14" width="14.85546875" customWidth="1"/>
    <col min="15" max="15" width="14.7109375" customWidth="1"/>
    <col min="16" max="16" width="13.7109375" customWidth="1"/>
    <col min="18" max="19" width="15.7109375" customWidth="1"/>
    <col min="22" max="22" width="41.42578125" customWidth="1"/>
  </cols>
  <sheetData>
    <row r="1" spans="1:17" ht="25.5" x14ac:dyDescent="0.35">
      <c r="A1" s="7" t="s">
        <v>93</v>
      </c>
      <c r="C1" s="2"/>
    </row>
    <row r="2" spans="1:17" x14ac:dyDescent="0.2">
      <c r="C2" s="2"/>
      <c r="L2" s="217"/>
    </row>
    <row r="3" spans="1:17" s="8" customFormat="1" ht="90.75" thickBot="1" x14ac:dyDescent="0.25">
      <c r="A3" s="8" t="s">
        <v>1</v>
      </c>
      <c r="B3" s="8" t="s">
        <v>22</v>
      </c>
      <c r="C3" s="8" t="s">
        <v>6</v>
      </c>
      <c r="D3" s="8" t="s">
        <v>9</v>
      </c>
      <c r="E3" s="8" t="s">
        <v>11</v>
      </c>
      <c r="F3" s="8" t="s">
        <v>10</v>
      </c>
      <c r="G3" s="8" t="s">
        <v>369</v>
      </c>
      <c r="H3" s="8" t="s">
        <v>12</v>
      </c>
      <c r="I3" s="8" t="s">
        <v>88</v>
      </c>
      <c r="J3" s="8" t="s">
        <v>370</v>
      </c>
      <c r="K3" s="8" t="s">
        <v>371</v>
      </c>
      <c r="L3" s="8" t="s">
        <v>359</v>
      </c>
      <c r="M3" s="8" t="s">
        <v>13</v>
      </c>
      <c r="N3" s="8" t="s">
        <v>14</v>
      </c>
      <c r="O3" s="8" t="s">
        <v>16</v>
      </c>
      <c r="P3" s="8" t="s">
        <v>18</v>
      </c>
      <c r="Q3" s="8" t="s">
        <v>19</v>
      </c>
    </row>
    <row r="4" spans="1:17" s="9" customFormat="1" ht="29.25" customHeight="1" x14ac:dyDescent="0.25">
      <c r="A4" s="10" t="s">
        <v>15</v>
      </c>
      <c r="B4" s="10"/>
      <c r="C4" s="10"/>
      <c r="D4" s="11">
        <f t="shared" ref="D4:N4" ca="1" si="0">SUM(D6:D105)</f>
        <v>0</v>
      </c>
      <c r="E4" s="11">
        <f t="shared" ca="1" si="0"/>
        <v>0</v>
      </c>
      <c r="F4" s="11">
        <f t="shared" ca="1" si="0"/>
        <v>0</v>
      </c>
      <c r="G4" s="11"/>
      <c r="H4" s="11">
        <f t="shared" ca="1" si="0"/>
        <v>0</v>
      </c>
      <c r="I4" s="11">
        <f t="shared" ca="1" si="0"/>
        <v>0</v>
      </c>
      <c r="J4" s="11">
        <f t="shared" ca="1" si="0"/>
        <v>0</v>
      </c>
      <c r="K4" s="11"/>
      <c r="L4" s="11">
        <f t="shared" ca="1" si="0"/>
        <v>0</v>
      </c>
      <c r="M4" s="11">
        <f t="shared" ca="1" si="0"/>
        <v>0</v>
      </c>
      <c r="N4" s="11">
        <f t="shared" ca="1" si="0"/>
        <v>0</v>
      </c>
      <c r="O4" s="11">
        <f ca="1">SUM(O6:O101)</f>
        <v>0</v>
      </c>
      <c r="P4" s="11"/>
      <c r="Q4" s="11"/>
    </row>
    <row r="5" spans="1:17" x14ac:dyDescent="0.2">
      <c r="A5">
        <v>0</v>
      </c>
      <c r="B5">
        <f>A5</f>
        <v>0</v>
      </c>
      <c r="C5">
        <v>100</v>
      </c>
      <c r="N5" s="4">
        <f ca="1">-_Gesamtkosten_t.Vb.</f>
        <v>0</v>
      </c>
      <c r="P5" s="5">
        <f t="shared" ref="P5:P35" ca="1" si="1">IF(ISNUMBER(B5),IF(N5&lt;0,N5,0),"")</f>
        <v>0</v>
      </c>
      <c r="Q5" s="5">
        <f t="shared" ref="Q5:Q35" ca="1" si="2">IF(ISNUMBER(B5),IF(N5&gt;0,N5,0),"")</f>
        <v>0</v>
      </c>
    </row>
    <row r="6" spans="1:17" x14ac:dyDescent="0.2">
      <c r="A6">
        <f>A5+1</f>
        <v>1</v>
      </c>
      <c r="B6">
        <f t="shared" ref="B6:B37" si="3">IF(A6&lt;=_Lebensdauer,A6,"")</f>
        <v>1</v>
      </c>
      <c r="C6" s="3">
        <f t="shared" ref="C6:C37" si="4">IF(ISNUMBER(B6),$C$5-B6*_Degradation_pro_Jahr_Standard,0)</f>
        <v>99.62833333333333</v>
      </c>
      <c r="D6" s="4">
        <f t="shared" ref="D6:D37" ca="1" si="5">_Ertrag_t.Vb.*C6/100</f>
        <v>0</v>
      </c>
      <c r="E6" s="4">
        <f t="shared" ref="E6:E37" ca="1" si="6">D6*_ENG_Rechenwert_t.Vb./100</f>
        <v>0</v>
      </c>
      <c r="F6" s="4">
        <f t="shared" ref="F6:F37" ca="1" si="7">(D6-E6)*_Tarif_Rücklieferung/100</f>
        <v>0</v>
      </c>
      <c r="G6" s="4">
        <f t="shared" ref="G6:G37" si="8">IF(_MWSt_pflichtig,F6*_MWSt_Satz/100,0)</f>
        <v>0</v>
      </c>
      <c r="H6" s="4">
        <f t="shared" ref="H6:H37" ca="1" si="9">E6*_Tarif_Bezug/100</f>
        <v>0</v>
      </c>
      <c r="I6" s="4">
        <f t="shared" ref="I6:I37" ca="1" si="10">IF(_EIV_t_auszahlung=B6,-_EIV_t.Vb._Rechenwert,0)+IF(_EF_t=B6,-_EF_t.Vb._Rechenwert,0)</f>
        <v>0</v>
      </c>
      <c r="J6" s="4">
        <f t="shared" ref="J6:J37" ca="1" si="11">-D6*_Tarif_Unterhalt_Rechenwert_t.Vb./100</f>
        <v>0</v>
      </c>
      <c r="K6" s="4">
        <f t="shared" ref="K6:K37" si="12">IF(_MWSt_pflichtig,J6*_MWSt_Satz/100,0)</f>
        <v>0</v>
      </c>
      <c r="L6" s="4">
        <f t="shared" ref="L6:L37" ca="1" si="13">IF(B6&lt;=_Lebensdauer,PMT(_Kap_Verzinsung/100,_Lebensdauer,_Investitionskosten_t.Vb.),"")</f>
        <v>0</v>
      </c>
      <c r="M6" s="4">
        <f ca="1">SUM(F6:L6)</f>
        <v>0</v>
      </c>
      <c r="N6" s="4">
        <f t="shared" ref="N6:N37" ca="1" si="14">N5+M6</f>
        <v>0</v>
      </c>
      <c r="O6" s="4">
        <f t="shared" ref="O6:O37" ca="1" si="15">IF(AND(N5&lt;0,N6&gt;=0),B6,0)</f>
        <v>0</v>
      </c>
      <c r="P6" s="4">
        <f t="shared" ca="1" si="1"/>
        <v>0</v>
      </c>
      <c r="Q6" s="4">
        <f t="shared" ca="1" si="2"/>
        <v>0</v>
      </c>
    </row>
    <row r="7" spans="1:17" x14ac:dyDescent="0.2">
      <c r="A7">
        <f t="shared" ref="A7:A10" si="16">A6+1</f>
        <v>2</v>
      </c>
      <c r="B7">
        <f t="shared" si="3"/>
        <v>2</v>
      </c>
      <c r="C7" s="3">
        <f t="shared" si="4"/>
        <v>99.256666666666661</v>
      </c>
      <c r="D7" s="4">
        <f t="shared" ca="1" si="5"/>
        <v>0</v>
      </c>
      <c r="E7" s="4">
        <f t="shared" ca="1" si="6"/>
        <v>0</v>
      </c>
      <c r="F7" s="4">
        <f t="shared" ca="1" si="7"/>
        <v>0</v>
      </c>
      <c r="G7" s="4">
        <f t="shared" si="8"/>
        <v>0</v>
      </c>
      <c r="H7" s="4">
        <f t="shared" ca="1" si="9"/>
        <v>0</v>
      </c>
      <c r="I7" s="4">
        <f t="shared" si="10"/>
        <v>0</v>
      </c>
      <c r="J7" s="4">
        <f t="shared" ca="1" si="11"/>
        <v>0</v>
      </c>
      <c r="K7" s="4">
        <f t="shared" si="12"/>
        <v>0</v>
      </c>
      <c r="L7" s="4">
        <f t="shared" ca="1" si="13"/>
        <v>0</v>
      </c>
      <c r="M7" s="4">
        <f t="shared" ref="M7:M37" ca="1" si="17">SUM(F7:L7)</f>
        <v>0</v>
      </c>
      <c r="N7" s="4">
        <f t="shared" ca="1" si="14"/>
        <v>0</v>
      </c>
      <c r="O7" s="4">
        <f t="shared" ca="1" si="15"/>
        <v>0</v>
      </c>
      <c r="P7" s="4">
        <f t="shared" ca="1" si="1"/>
        <v>0</v>
      </c>
      <c r="Q7" s="4">
        <f t="shared" ca="1" si="2"/>
        <v>0</v>
      </c>
    </row>
    <row r="8" spans="1:17" x14ac:dyDescent="0.2">
      <c r="A8">
        <f t="shared" si="16"/>
        <v>3</v>
      </c>
      <c r="B8">
        <f t="shared" si="3"/>
        <v>3</v>
      </c>
      <c r="C8" s="3">
        <f t="shared" si="4"/>
        <v>98.885000000000005</v>
      </c>
      <c r="D8" s="4">
        <f t="shared" ca="1" si="5"/>
        <v>0</v>
      </c>
      <c r="E8" s="4">
        <f t="shared" ca="1" si="6"/>
        <v>0</v>
      </c>
      <c r="F8" s="4">
        <f t="shared" ca="1" si="7"/>
        <v>0</v>
      </c>
      <c r="G8" s="4">
        <f t="shared" si="8"/>
        <v>0</v>
      </c>
      <c r="H8" s="4">
        <f t="shared" ca="1" si="9"/>
        <v>0</v>
      </c>
      <c r="I8" s="4">
        <f t="shared" si="10"/>
        <v>0</v>
      </c>
      <c r="J8" s="4">
        <f t="shared" ca="1" si="11"/>
        <v>0</v>
      </c>
      <c r="K8" s="4">
        <f t="shared" si="12"/>
        <v>0</v>
      </c>
      <c r="L8" s="4">
        <f t="shared" ca="1" si="13"/>
        <v>0</v>
      </c>
      <c r="M8" s="4">
        <f t="shared" ca="1" si="17"/>
        <v>0</v>
      </c>
      <c r="N8" s="4">
        <f t="shared" ca="1" si="14"/>
        <v>0</v>
      </c>
      <c r="O8" s="4">
        <f t="shared" ca="1" si="15"/>
        <v>0</v>
      </c>
      <c r="P8" s="4">
        <f t="shared" ca="1" si="1"/>
        <v>0</v>
      </c>
      <c r="Q8" s="4">
        <f t="shared" ca="1" si="2"/>
        <v>0</v>
      </c>
    </row>
    <row r="9" spans="1:17" x14ac:dyDescent="0.2">
      <c r="A9">
        <f t="shared" si="16"/>
        <v>4</v>
      </c>
      <c r="B9">
        <f t="shared" si="3"/>
        <v>4</v>
      </c>
      <c r="C9" s="3">
        <f t="shared" si="4"/>
        <v>98.513333333333335</v>
      </c>
      <c r="D9" s="4">
        <f t="shared" ca="1" si="5"/>
        <v>0</v>
      </c>
      <c r="E9" s="4">
        <f t="shared" ca="1" si="6"/>
        <v>0</v>
      </c>
      <c r="F9" s="4">
        <f t="shared" ca="1" si="7"/>
        <v>0</v>
      </c>
      <c r="G9" s="4">
        <f t="shared" si="8"/>
        <v>0</v>
      </c>
      <c r="H9" s="4">
        <f t="shared" ca="1" si="9"/>
        <v>0</v>
      </c>
      <c r="I9" s="4">
        <f t="shared" si="10"/>
        <v>0</v>
      </c>
      <c r="J9" s="4">
        <f t="shared" ca="1" si="11"/>
        <v>0</v>
      </c>
      <c r="K9" s="4">
        <f t="shared" si="12"/>
        <v>0</v>
      </c>
      <c r="L9" s="4">
        <f t="shared" ca="1" si="13"/>
        <v>0</v>
      </c>
      <c r="M9" s="4">
        <f t="shared" ca="1" si="17"/>
        <v>0</v>
      </c>
      <c r="N9" s="4">
        <f t="shared" ca="1" si="14"/>
        <v>0</v>
      </c>
      <c r="O9" s="4">
        <f t="shared" ca="1" si="15"/>
        <v>0</v>
      </c>
      <c r="P9" s="4">
        <f t="shared" ca="1" si="1"/>
        <v>0</v>
      </c>
      <c r="Q9" s="4">
        <f t="shared" ca="1" si="2"/>
        <v>0</v>
      </c>
    </row>
    <row r="10" spans="1:17" x14ac:dyDescent="0.2">
      <c r="A10">
        <f t="shared" si="16"/>
        <v>5</v>
      </c>
      <c r="B10">
        <f t="shared" si="3"/>
        <v>5</v>
      </c>
      <c r="C10" s="3">
        <f t="shared" si="4"/>
        <v>98.141666666666666</v>
      </c>
      <c r="D10" s="4">
        <f t="shared" ca="1" si="5"/>
        <v>0</v>
      </c>
      <c r="E10" s="4">
        <f t="shared" ca="1" si="6"/>
        <v>0</v>
      </c>
      <c r="F10" s="4">
        <f t="shared" ca="1" si="7"/>
        <v>0</v>
      </c>
      <c r="G10" s="4">
        <f t="shared" si="8"/>
        <v>0</v>
      </c>
      <c r="H10" s="4">
        <f t="shared" ca="1" si="9"/>
        <v>0</v>
      </c>
      <c r="I10" s="4">
        <f t="shared" si="10"/>
        <v>0</v>
      </c>
      <c r="J10" s="4">
        <f t="shared" ca="1" si="11"/>
        <v>0</v>
      </c>
      <c r="K10" s="4">
        <f t="shared" si="12"/>
        <v>0</v>
      </c>
      <c r="L10" s="4">
        <f t="shared" ca="1" si="13"/>
        <v>0</v>
      </c>
      <c r="M10" s="4">
        <f t="shared" ca="1" si="17"/>
        <v>0</v>
      </c>
      <c r="N10" s="4">
        <f t="shared" ca="1" si="14"/>
        <v>0</v>
      </c>
      <c r="O10" s="4">
        <f t="shared" ca="1" si="15"/>
        <v>0</v>
      </c>
      <c r="P10" s="4">
        <f t="shared" ca="1" si="1"/>
        <v>0</v>
      </c>
      <c r="Q10" s="4">
        <f t="shared" ca="1" si="2"/>
        <v>0</v>
      </c>
    </row>
    <row r="11" spans="1:17" x14ac:dyDescent="0.2">
      <c r="A11">
        <f t="shared" ref="A11:A74" si="18">A10+1</f>
        <v>6</v>
      </c>
      <c r="B11">
        <f t="shared" si="3"/>
        <v>6</v>
      </c>
      <c r="C11" s="3">
        <f t="shared" si="4"/>
        <v>97.77</v>
      </c>
      <c r="D11" s="4">
        <f t="shared" ca="1" si="5"/>
        <v>0</v>
      </c>
      <c r="E11" s="4">
        <f t="shared" ca="1" si="6"/>
        <v>0</v>
      </c>
      <c r="F11" s="4">
        <f t="shared" ca="1" si="7"/>
        <v>0</v>
      </c>
      <c r="G11" s="4">
        <f t="shared" si="8"/>
        <v>0</v>
      </c>
      <c r="H11" s="4">
        <f t="shared" ca="1" si="9"/>
        <v>0</v>
      </c>
      <c r="I11" s="4">
        <f t="shared" si="10"/>
        <v>0</v>
      </c>
      <c r="J11" s="4">
        <f t="shared" ca="1" si="11"/>
        <v>0</v>
      </c>
      <c r="K11" s="4">
        <f t="shared" si="12"/>
        <v>0</v>
      </c>
      <c r="L11" s="4">
        <f t="shared" ca="1" si="13"/>
        <v>0</v>
      </c>
      <c r="M11" s="4">
        <f t="shared" ca="1" si="17"/>
        <v>0</v>
      </c>
      <c r="N11" s="4">
        <f t="shared" ca="1" si="14"/>
        <v>0</v>
      </c>
      <c r="O11" s="4">
        <f t="shared" ca="1" si="15"/>
        <v>0</v>
      </c>
      <c r="P11" s="4">
        <f t="shared" ca="1" si="1"/>
        <v>0</v>
      </c>
      <c r="Q11" s="4">
        <f t="shared" ca="1" si="2"/>
        <v>0</v>
      </c>
    </row>
    <row r="12" spans="1:17" x14ac:dyDescent="0.2">
      <c r="A12">
        <f t="shared" si="18"/>
        <v>7</v>
      </c>
      <c r="B12">
        <f t="shared" si="3"/>
        <v>7</v>
      </c>
      <c r="C12" s="3">
        <f t="shared" si="4"/>
        <v>97.398333333333326</v>
      </c>
      <c r="D12" s="4">
        <f t="shared" ca="1" si="5"/>
        <v>0</v>
      </c>
      <c r="E12" s="4">
        <f t="shared" ca="1" si="6"/>
        <v>0</v>
      </c>
      <c r="F12" s="4">
        <f t="shared" ca="1" si="7"/>
        <v>0</v>
      </c>
      <c r="G12" s="4">
        <f t="shared" si="8"/>
        <v>0</v>
      </c>
      <c r="H12" s="4">
        <f t="shared" ca="1" si="9"/>
        <v>0</v>
      </c>
      <c r="I12" s="4">
        <f t="shared" si="10"/>
        <v>0</v>
      </c>
      <c r="J12" s="4">
        <f t="shared" ca="1" si="11"/>
        <v>0</v>
      </c>
      <c r="K12" s="4">
        <f t="shared" si="12"/>
        <v>0</v>
      </c>
      <c r="L12" s="4">
        <f t="shared" ca="1" si="13"/>
        <v>0</v>
      </c>
      <c r="M12" s="4">
        <f t="shared" ca="1" si="17"/>
        <v>0</v>
      </c>
      <c r="N12" s="4">
        <f t="shared" ca="1" si="14"/>
        <v>0</v>
      </c>
      <c r="O12" s="4">
        <f t="shared" ca="1" si="15"/>
        <v>0</v>
      </c>
      <c r="P12" s="4">
        <f t="shared" ca="1" si="1"/>
        <v>0</v>
      </c>
      <c r="Q12" s="4">
        <f t="shared" ca="1" si="2"/>
        <v>0</v>
      </c>
    </row>
    <row r="13" spans="1:17" x14ac:dyDescent="0.2">
      <c r="A13">
        <f t="shared" si="18"/>
        <v>8</v>
      </c>
      <c r="B13">
        <f t="shared" si="3"/>
        <v>8</v>
      </c>
      <c r="C13" s="3">
        <f t="shared" si="4"/>
        <v>97.026666666666671</v>
      </c>
      <c r="D13" s="4">
        <f t="shared" ca="1" si="5"/>
        <v>0</v>
      </c>
      <c r="E13" s="4">
        <f t="shared" ca="1" si="6"/>
        <v>0</v>
      </c>
      <c r="F13" s="4">
        <f t="shared" ca="1" si="7"/>
        <v>0</v>
      </c>
      <c r="G13" s="4">
        <f t="shared" si="8"/>
        <v>0</v>
      </c>
      <c r="H13" s="4">
        <f t="shared" ca="1" si="9"/>
        <v>0</v>
      </c>
      <c r="I13" s="4">
        <f t="shared" si="10"/>
        <v>0</v>
      </c>
      <c r="J13" s="4">
        <f t="shared" ca="1" si="11"/>
        <v>0</v>
      </c>
      <c r="K13" s="4">
        <f t="shared" si="12"/>
        <v>0</v>
      </c>
      <c r="L13" s="4">
        <f t="shared" ca="1" si="13"/>
        <v>0</v>
      </c>
      <c r="M13" s="4">
        <f t="shared" ca="1" si="17"/>
        <v>0</v>
      </c>
      <c r="N13" s="4">
        <f t="shared" ca="1" si="14"/>
        <v>0</v>
      </c>
      <c r="O13" s="4">
        <f t="shared" ca="1" si="15"/>
        <v>0</v>
      </c>
      <c r="P13" s="4">
        <f t="shared" ca="1" si="1"/>
        <v>0</v>
      </c>
      <c r="Q13" s="4">
        <f t="shared" ca="1" si="2"/>
        <v>0</v>
      </c>
    </row>
    <row r="14" spans="1:17" x14ac:dyDescent="0.2">
      <c r="A14">
        <f t="shared" si="18"/>
        <v>9</v>
      </c>
      <c r="B14">
        <f t="shared" si="3"/>
        <v>9</v>
      </c>
      <c r="C14" s="3">
        <f t="shared" si="4"/>
        <v>96.655000000000001</v>
      </c>
      <c r="D14" s="4">
        <f t="shared" ca="1" si="5"/>
        <v>0</v>
      </c>
      <c r="E14" s="4">
        <f t="shared" ca="1" si="6"/>
        <v>0</v>
      </c>
      <c r="F14" s="4">
        <f t="shared" ca="1" si="7"/>
        <v>0</v>
      </c>
      <c r="G14" s="4">
        <f t="shared" si="8"/>
        <v>0</v>
      </c>
      <c r="H14" s="4">
        <f t="shared" ca="1" si="9"/>
        <v>0</v>
      </c>
      <c r="I14" s="4">
        <f t="shared" si="10"/>
        <v>0</v>
      </c>
      <c r="J14" s="4">
        <f t="shared" ca="1" si="11"/>
        <v>0</v>
      </c>
      <c r="K14" s="4">
        <f t="shared" si="12"/>
        <v>0</v>
      </c>
      <c r="L14" s="4">
        <f t="shared" ca="1" si="13"/>
        <v>0</v>
      </c>
      <c r="M14" s="4">
        <f t="shared" ca="1" si="17"/>
        <v>0</v>
      </c>
      <c r="N14" s="4">
        <f t="shared" ca="1" si="14"/>
        <v>0</v>
      </c>
      <c r="O14" s="4">
        <f t="shared" ca="1" si="15"/>
        <v>0</v>
      </c>
      <c r="P14" s="4">
        <f t="shared" ca="1" si="1"/>
        <v>0</v>
      </c>
      <c r="Q14" s="4">
        <f t="shared" ca="1" si="2"/>
        <v>0</v>
      </c>
    </row>
    <row r="15" spans="1:17" x14ac:dyDescent="0.2">
      <c r="A15">
        <f t="shared" si="18"/>
        <v>10</v>
      </c>
      <c r="B15">
        <f t="shared" si="3"/>
        <v>10</v>
      </c>
      <c r="C15" s="3">
        <f t="shared" si="4"/>
        <v>96.283333333333331</v>
      </c>
      <c r="D15" s="4">
        <f t="shared" ca="1" si="5"/>
        <v>0</v>
      </c>
      <c r="E15" s="4">
        <f t="shared" ca="1" si="6"/>
        <v>0</v>
      </c>
      <c r="F15" s="4">
        <f t="shared" ca="1" si="7"/>
        <v>0</v>
      </c>
      <c r="G15" s="4">
        <f t="shared" si="8"/>
        <v>0</v>
      </c>
      <c r="H15" s="4">
        <f t="shared" ca="1" si="9"/>
        <v>0</v>
      </c>
      <c r="I15" s="4">
        <f t="shared" si="10"/>
        <v>0</v>
      </c>
      <c r="J15" s="4">
        <f t="shared" ca="1" si="11"/>
        <v>0</v>
      </c>
      <c r="K15" s="4">
        <f t="shared" si="12"/>
        <v>0</v>
      </c>
      <c r="L15" s="4">
        <f t="shared" ca="1" si="13"/>
        <v>0</v>
      </c>
      <c r="M15" s="4">
        <f t="shared" ca="1" si="17"/>
        <v>0</v>
      </c>
      <c r="N15" s="4">
        <f t="shared" ca="1" si="14"/>
        <v>0</v>
      </c>
      <c r="O15" s="4">
        <f t="shared" ca="1" si="15"/>
        <v>0</v>
      </c>
      <c r="P15" s="4">
        <f t="shared" ca="1" si="1"/>
        <v>0</v>
      </c>
      <c r="Q15" s="4">
        <f t="shared" ca="1" si="2"/>
        <v>0</v>
      </c>
    </row>
    <row r="16" spans="1:17" x14ac:dyDescent="0.2">
      <c r="A16">
        <f t="shared" si="18"/>
        <v>11</v>
      </c>
      <c r="B16">
        <f t="shared" si="3"/>
        <v>11</v>
      </c>
      <c r="C16" s="3">
        <f t="shared" si="4"/>
        <v>95.911666666666662</v>
      </c>
      <c r="D16" s="4">
        <f t="shared" ca="1" si="5"/>
        <v>0</v>
      </c>
      <c r="E16" s="4">
        <f t="shared" ca="1" si="6"/>
        <v>0</v>
      </c>
      <c r="F16" s="4">
        <f t="shared" ca="1" si="7"/>
        <v>0</v>
      </c>
      <c r="G16" s="4">
        <f t="shared" si="8"/>
        <v>0</v>
      </c>
      <c r="H16" s="4">
        <f t="shared" ca="1" si="9"/>
        <v>0</v>
      </c>
      <c r="I16" s="4">
        <f t="shared" si="10"/>
        <v>0</v>
      </c>
      <c r="J16" s="4">
        <f t="shared" ca="1" si="11"/>
        <v>0</v>
      </c>
      <c r="K16" s="4">
        <f t="shared" si="12"/>
        <v>0</v>
      </c>
      <c r="L16" s="4">
        <f t="shared" ca="1" si="13"/>
        <v>0</v>
      </c>
      <c r="M16" s="4">
        <f t="shared" ca="1" si="17"/>
        <v>0</v>
      </c>
      <c r="N16" s="4">
        <f t="shared" ca="1" si="14"/>
        <v>0</v>
      </c>
      <c r="O16" s="4">
        <f t="shared" ca="1" si="15"/>
        <v>0</v>
      </c>
      <c r="P16" s="4">
        <f t="shared" ca="1" si="1"/>
        <v>0</v>
      </c>
      <c r="Q16" s="4">
        <f t="shared" ca="1" si="2"/>
        <v>0</v>
      </c>
    </row>
    <row r="17" spans="1:17" x14ac:dyDescent="0.2">
      <c r="A17">
        <f t="shared" si="18"/>
        <v>12</v>
      </c>
      <c r="B17">
        <f t="shared" si="3"/>
        <v>12</v>
      </c>
      <c r="C17" s="3">
        <f t="shared" si="4"/>
        <v>95.539999999999992</v>
      </c>
      <c r="D17" s="4">
        <f t="shared" ca="1" si="5"/>
        <v>0</v>
      </c>
      <c r="E17" s="4">
        <f t="shared" ca="1" si="6"/>
        <v>0</v>
      </c>
      <c r="F17" s="4">
        <f t="shared" ca="1" si="7"/>
        <v>0</v>
      </c>
      <c r="G17" s="4">
        <f t="shared" si="8"/>
        <v>0</v>
      </c>
      <c r="H17" s="4">
        <f t="shared" ca="1" si="9"/>
        <v>0</v>
      </c>
      <c r="I17" s="4">
        <f t="shared" si="10"/>
        <v>0</v>
      </c>
      <c r="J17" s="4">
        <f t="shared" ca="1" si="11"/>
        <v>0</v>
      </c>
      <c r="K17" s="4">
        <f t="shared" si="12"/>
        <v>0</v>
      </c>
      <c r="L17" s="4">
        <f t="shared" ca="1" si="13"/>
        <v>0</v>
      </c>
      <c r="M17" s="4">
        <f t="shared" ca="1" si="17"/>
        <v>0</v>
      </c>
      <c r="N17" s="4">
        <f t="shared" ca="1" si="14"/>
        <v>0</v>
      </c>
      <c r="O17" s="4">
        <f t="shared" ca="1" si="15"/>
        <v>0</v>
      </c>
      <c r="P17" s="4">
        <f t="shared" ca="1" si="1"/>
        <v>0</v>
      </c>
      <c r="Q17" s="4">
        <f t="shared" ca="1" si="2"/>
        <v>0</v>
      </c>
    </row>
    <row r="18" spans="1:17" x14ac:dyDescent="0.2">
      <c r="A18">
        <f t="shared" si="18"/>
        <v>13</v>
      </c>
      <c r="B18">
        <f t="shared" si="3"/>
        <v>13</v>
      </c>
      <c r="C18" s="3">
        <f t="shared" si="4"/>
        <v>95.168333333333337</v>
      </c>
      <c r="D18" s="4">
        <f t="shared" ca="1" si="5"/>
        <v>0</v>
      </c>
      <c r="E18" s="4">
        <f t="shared" ca="1" si="6"/>
        <v>0</v>
      </c>
      <c r="F18" s="4">
        <f t="shared" ca="1" si="7"/>
        <v>0</v>
      </c>
      <c r="G18" s="4">
        <f t="shared" si="8"/>
        <v>0</v>
      </c>
      <c r="H18" s="4">
        <f t="shared" ca="1" si="9"/>
        <v>0</v>
      </c>
      <c r="I18" s="4">
        <f t="shared" si="10"/>
        <v>0</v>
      </c>
      <c r="J18" s="4">
        <f t="shared" ca="1" si="11"/>
        <v>0</v>
      </c>
      <c r="K18" s="4">
        <f t="shared" si="12"/>
        <v>0</v>
      </c>
      <c r="L18" s="4">
        <f t="shared" ca="1" si="13"/>
        <v>0</v>
      </c>
      <c r="M18" s="4">
        <f t="shared" ca="1" si="17"/>
        <v>0</v>
      </c>
      <c r="N18" s="4">
        <f t="shared" ca="1" si="14"/>
        <v>0</v>
      </c>
      <c r="O18" s="4">
        <f t="shared" ca="1" si="15"/>
        <v>0</v>
      </c>
      <c r="P18" s="4">
        <f t="shared" ca="1" si="1"/>
        <v>0</v>
      </c>
      <c r="Q18" s="4">
        <f t="shared" ca="1" si="2"/>
        <v>0</v>
      </c>
    </row>
    <row r="19" spans="1:17" x14ac:dyDescent="0.2">
      <c r="A19">
        <f t="shared" si="18"/>
        <v>14</v>
      </c>
      <c r="B19">
        <f t="shared" si="3"/>
        <v>14</v>
      </c>
      <c r="C19" s="3">
        <f t="shared" si="4"/>
        <v>94.796666666666667</v>
      </c>
      <c r="D19" s="4">
        <f t="shared" ca="1" si="5"/>
        <v>0</v>
      </c>
      <c r="E19" s="4">
        <f t="shared" ca="1" si="6"/>
        <v>0</v>
      </c>
      <c r="F19" s="4">
        <f t="shared" ca="1" si="7"/>
        <v>0</v>
      </c>
      <c r="G19" s="4">
        <f t="shared" si="8"/>
        <v>0</v>
      </c>
      <c r="H19" s="4">
        <f t="shared" ca="1" si="9"/>
        <v>0</v>
      </c>
      <c r="I19" s="4">
        <f t="shared" si="10"/>
        <v>0</v>
      </c>
      <c r="J19" s="4">
        <f t="shared" ca="1" si="11"/>
        <v>0</v>
      </c>
      <c r="K19" s="4">
        <f t="shared" si="12"/>
        <v>0</v>
      </c>
      <c r="L19" s="4">
        <f t="shared" ca="1" si="13"/>
        <v>0</v>
      </c>
      <c r="M19" s="4">
        <f t="shared" ca="1" si="17"/>
        <v>0</v>
      </c>
      <c r="N19" s="4">
        <f t="shared" ca="1" si="14"/>
        <v>0</v>
      </c>
      <c r="O19" s="4">
        <f t="shared" ca="1" si="15"/>
        <v>0</v>
      </c>
      <c r="P19" s="4">
        <f t="shared" ca="1" si="1"/>
        <v>0</v>
      </c>
      <c r="Q19" s="4">
        <f t="shared" ca="1" si="2"/>
        <v>0</v>
      </c>
    </row>
    <row r="20" spans="1:17" x14ac:dyDescent="0.2">
      <c r="A20">
        <f t="shared" si="18"/>
        <v>15</v>
      </c>
      <c r="B20">
        <f t="shared" si="3"/>
        <v>15</v>
      </c>
      <c r="C20" s="3">
        <f t="shared" si="4"/>
        <v>94.424999999999997</v>
      </c>
      <c r="D20" s="4">
        <f t="shared" ca="1" si="5"/>
        <v>0</v>
      </c>
      <c r="E20" s="4">
        <f t="shared" ca="1" si="6"/>
        <v>0</v>
      </c>
      <c r="F20" s="4">
        <f t="shared" ca="1" si="7"/>
        <v>0</v>
      </c>
      <c r="G20" s="4">
        <f t="shared" si="8"/>
        <v>0</v>
      </c>
      <c r="H20" s="4">
        <f t="shared" ca="1" si="9"/>
        <v>0</v>
      </c>
      <c r="I20" s="4">
        <f t="shared" si="10"/>
        <v>0</v>
      </c>
      <c r="J20" s="4">
        <f t="shared" ca="1" si="11"/>
        <v>0</v>
      </c>
      <c r="K20" s="4">
        <f t="shared" si="12"/>
        <v>0</v>
      </c>
      <c r="L20" s="4">
        <f t="shared" ca="1" si="13"/>
        <v>0</v>
      </c>
      <c r="M20" s="4">
        <f t="shared" ca="1" si="17"/>
        <v>0</v>
      </c>
      <c r="N20" s="4">
        <f t="shared" ca="1" si="14"/>
        <v>0</v>
      </c>
      <c r="O20" s="4">
        <f t="shared" ca="1" si="15"/>
        <v>0</v>
      </c>
      <c r="P20" s="4">
        <f t="shared" ca="1" si="1"/>
        <v>0</v>
      </c>
      <c r="Q20" s="4">
        <f t="shared" ca="1" si="2"/>
        <v>0</v>
      </c>
    </row>
    <row r="21" spans="1:17" x14ac:dyDescent="0.2">
      <c r="A21">
        <f t="shared" si="18"/>
        <v>16</v>
      </c>
      <c r="B21">
        <f t="shared" si="3"/>
        <v>16</v>
      </c>
      <c r="C21" s="3">
        <f t="shared" si="4"/>
        <v>94.053333333333327</v>
      </c>
      <c r="D21" s="4">
        <f t="shared" ca="1" si="5"/>
        <v>0</v>
      </c>
      <c r="E21" s="4">
        <f t="shared" ca="1" si="6"/>
        <v>0</v>
      </c>
      <c r="F21" s="4">
        <f t="shared" ca="1" si="7"/>
        <v>0</v>
      </c>
      <c r="G21" s="4">
        <f t="shared" si="8"/>
        <v>0</v>
      </c>
      <c r="H21" s="4">
        <f t="shared" ca="1" si="9"/>
        <v>0</v>
      </c>
      <c r="I21" s="4">
        <f t="shared" si="10"/>
        <v>0</v>
      </c>
      <c r="J21" s="4">
        <f t="shared" ca="1" si="11"/>
        <v>0</v>
      </c>
      <c r="K21" s="4">
        <f t="shared" si="12"/>
        <v>0</v>
      </c>
      <c r="L21" s="4">
        <f t="shared" ca="1" si="13"/>
        <v>0</v>
      </c>
      <c r="M21" s="4">
        <f t="shared" ca="1" si="17"/>
        <v>0</v>
      </c>
      <c r="N21" s="4">
        <f t="shared" ca="1" si="14"/>
        <v>0</v>
      </c>
      <c r="O21" s="4">
        <f t="shared" ca="1" si="15"/>
        <v>0</v>
      </c>
      <c r="P21" s="4">
        <f t="shared" ca="1" si="1"/>
        <v>0</v>
      </c>
      <c r="Q21" s="4">
        <f t="shared" ca="1" si="2"/>
        <v>0</v>
      </c>
    </row>
    <row r="22" spans="1:17" x14ac:dyDescent="0.2">
      <c r="A22">
        <f t="shared" si="18"/>
        <v>17</v>
      </c>
      <c r="B22">
        <f t="shared" si="3"/>
        <v>17</v>
      </c>
      <c r="C22" s="3">
        <f t="shared" si="4"/>
        <v>93.681666666666658</v>
      </c>
      <c r="D22" s="4">
        <f t="shared" ca="1" si="5"/>
        <v>0</v>
      </c>
      <c r="E22" s="4">
        <f t="shared" ca="1" si="6"/>
        <v>0</v>
      </c>
      <c r="F22" s="4">
        <f t="shared" ca="1" si="7"/>
        <v>0</v>
      </c>
      <c r="G22" s="4">
        <f t="shared" si="8"/>
        <v>0</v>
      </c>
      <c r="H22" s="4">
        <f t="shared" ca="1" si="9"/>
        <v>0</v>
      </c>
      <c r="I22" s="4">
        <f t="shared" si="10"/>
        <v>0</v>
      </c>
      <c r="J22" s="4">
        <f t="shared" ca="1" si="11"/>
        <v>0</v>
      </c>
      <c r="K22" s="4">
        <f t="shared" si="12"/>
        <v>0</v>
      </c>
      <c r="L22" s="4">
        <f t="shared" ca="1" si="13"/>
        <v>0</v>
      </c>
      <c r="M22" s="4">
        <f t="shared" ca="1" si="17"/>
        <v>0</v>
      </c>
      <c r="N22" s="4">
        <f t="shared" ca="1" si="14"/>
        <v>0</v>
      </c>
      <c r="O22" s="4">
        <f t="shared" ca="1" si="15"/>
        <v>0</v>
      </c>
      <c r="P22" s="4">
        <f t="shared" ca="1" si="1"/>
        <v>0</v>
      </c>
      <c r="Q22" s="4">
        <f t="shared" ca="1" si="2"/>
        <v>0</v>
      </c>
    </row>
    <row r="23" spans="1:17" x14ac:dyDescent="0.2">
      <c r="A23">
        <f t="shared" si="18"/>
        <v>18</v>
      </c>
      <c r="B23">
        <f t="shared" si="3"/>
        <v>18</v>
      </c>
      <c r="C23" s="3">
        <f t="shared" si="4"/>
        <v>93.31</v>
      </c>
      <c r="D23" s="4">
        <f t="shared" ca="1" si="5"/>
        <v>0</v>
      </c>
      <c r="E23" s="4">
        <f t="shared" ca="1" si="6"/>
        <v>0</v>
      </c>
      <c r="F23" s="4">
        <f t="shared" ca="1" si="7"/>
        <v>0</v>
      </c>
      <c r="G23" s="4">
        <f t="shared" si="8"/>
        <v>0</v>
      </c>
      <c r="H23" s="4">
        <f t="shared" ca="1" si="9"/>
        <v>0</v>
      </c>
      <c r="I23" s="4">
        <f t="shared" si="10"/>
        <v>0</v>
      </c>
      <c r="J23" s="4">
        <f t="shared" ca="1" si="11"/>
        <v>0</v>
      </c>
      <c r="K23" s="4">
        <f t="shared" si="12"/>
        <v>0</v>
      </c>
      <c r="L23" s="4">
        <f t="shared" ca="1" si="13"/>
        <v>0</v>
      </c>
      <c r="M23" s="4">
        <f t="shared" ca="1" si="17"/>
        <v>0</v>
      </c>
      <c r="N23" s="4">
        <f t="shared" ca="1" si="14"/>
        <v>0</v>
      </c>
      <c r="O23" s="4">
        <f t="shared" ca="1" si="15"/>
        <v>0</v>
      </c>
      <c r="P23" s="4">
        <f t="shared" ca="1" si="1"/>
        <v>0</v>
      </c>
      <c r="Q23" s="4">
        <f t="shared" ca="1" si="2"/>
        <v>0</v>
      </c>
    </row>
    <row r="24" spans="1:17" x14ac:dyDescent="0.2">
      <c r="A24">
        <f t="shared" si="18"/>
        <v>19</v>
      </c>
      <c r="B24">
        <f t="shared" si="3"/>
        <v>19</v>
      </c>
      <c r="C24" s="3">
        <f t="shared" si="4"/>
        <v>92.938333333333333</v>
      </c>
      <c r="D24" s="4">
        <f t="shared" ca="1" si="5"/>
        <v>0</v>
      </c>
      <c r="E24" s="4">
        <f t="shared" ca="1" si="6"/>
        <v>0</v>
      </c>
      <c r="F24" s="4">
        <f t="shared" ca="1" si="7"/>
        <v>0</v>
      </c>
      <c r="G24" s="4">
        <f t="shared" si="8"/>
        <v>0</v>
      </c>
      <c r="H24" s="4">
        <f t="shared" ca="1" si="9"/>
        <v>0</v>
      </c>
      <c r="I24" s="4">
        <f t="shared" si="10"/>
        <v>0</v>
      </c>
      <c r="J24" s="4">
        <f t="shared" ca="1" si="11"/>
        <v>0</v>
      </c>
      <c r="K24" s="4">
        <f t="shared" si="12"/>
        <v>0</v>
      </c>
      <c r="L24" s="4">
        <f t="shared" ca="1" si="13"/>
        <v>0</v>
      </c>
      <c r="M24" s="4">
        <f t="shared" ca="1" si="17"/>
        <v>0</v>
      </c>
      <c r="N24" s="4">
        <f t="shared" ca="1" si="14"/>
        <v>0</v>
      </c>
      <c r="O24" s="4">
        <f t="shared" ca="1" si="15"/>
        <v>0</v>
      </c>
      <c r="P24" s="4">
        <f t="shared" ca="1" si="1"/>
        <v>0</v>
      </c>
      <c r="Q24" s="4">
        <f t="shared" ca="1" si="2"/>
        <v>0</v>
      </c>
    </row>
    <row r="25" spans="1:17" x14ac:dyDescent="0.2">
      <c r="A25">
        <f t="shared" si="18"/>
        <v>20</v>
      </c>
      <c r="B25">
        <f t="shared" si="3"/>
        <v>20</v>
      </c>
      <c r="C25" s="3">
        <f t="shared" si="4"/>
        <v>92.566666666666663</v>
      </c>
      <c r="D25" s="4">
        <f t="shared" ca="1" si="5"/>
        <v>0</v>
      </c>
      <c r="E25" s="4">
        <f t="shared" ca="1" si="6"/>
        <v>0</v>
      </c>
      <c r="F25" s="4">
        <f t="shared" ca="1" si="7"/>
        <v>0</v>
      </c>
      <c r="G25" s="4">
        <f t="shared" si="8"/>
        <v>0</v>
      </c>
      <c r="H25" s="4">
        <f t="shared" ca="1" si="9"/>
        <v>0</v>
      </c>
      <c r="I25" s="4">
        <f t="shared" si="10"/>
        <v>0</v>
      </c>
      <c r="J25" s="4">
        <f t="shared" ca="1" si="11"/>
        <v>0</v>
      </c>
      <c r="K25" s="4">
        <f t="shared" si="12"/>
        <v>0</v>
      </c>
      <c r="L25" s="4">
        <f t="shared" ca="1" si="13"/>
        <v>0</v>
      </c>
      <c r="M25" s="4">
        <f t="shared" ca="1" si="17"/>
        <v>0</v>
      </c>
      <c r="N25" s="4">
        <f t="shared" ca="1" si="14"/>
        <v>0</v>
      </c>
      <c r="O25" s="4">
        <f t="shared" ca="1" si="15"/>
        <v>0</v>
      </c>
      <c r="P25" s="4">
        <f t="shared" ca="1" si="1"/>
        <v>0</v>
      </c>
      <c r="Q25" s="4">
        <f t="shared" ca="1" si="2"/>
        <v>0</v>
      </c>
    </row>
    <row r="26" spans="1:17" x14ac:dyDescent="0.2">
      <c r="A26">
        <f t="shared" si="18"/>
        <v>21</v>
      </c>
      <c r="B26">
        <f t="shared" si="3"/>
        <v>21</v>
      </c>
      <c r="C26" s="3">
        <f t="shared" si="4"/>
        <v>92.194999999999993</v>
      </c>
      <c r="D26" s="4">
        <f t="shared" ca="1" si="5"/>
        <v>0</v>
      </c>
      <c r="E26" s="4">
        <f t="shared" ca="1" si="6"/>
        <v>0</v>
      </c>
      <c r="F26" s="4">
        <f t="shared" ca="1" si="7"/>
        <v>0</v>
      </c>
      <c r="G26" s="4">
        <f t="shared" si="8"/>
        <v>0</v>
      </c>
      <c r="H26" s="4">
        <f t="shared" ca="1" si="9"/>
        <v>0</v>
      </c>
      <c r="I26" s="4">
        <f t="shared" si="10"/>
        <v>0</v>
      </c>
      <c r="J26" s="4">
        <f t="shared" ca="1" si="11"/>
        <v>0</v>
      </c>
      <c r="K26" s="4">
        <f t="shared" si="12"/>
        <v>0</v>
      </c>
      <c r="L26" s="4">
        <f t="shared" ca="1" si="13"/>
        <v>0</v>
      </c>
      <c r="M26" s="4">
        <f t="shared" ca="1" si="17"/>
        <v>0</v>
      </c>
      <c r="N26" s="4">
        <f t="shared" ca="1" si="14"/>
        <v>0</v>
      </c>
      <c r="O26" s="4">
        <f t="shared" ca="1" si="15"/>
        <v>0</v>
      </c>
      <c r="P26" s="4">
        <f t="shared" ca="1" si="1"/>
        <v>0</v>
      </c>
      <c r="Q26" s="4">
        <f t="shared" ca="1" si="2"/>
        <v>0</v>
      </c>
    </row>
    <row r="27" spans="1:17" x14ac:dyDescent="0.2">
      <c r="A27">
        <f t="shared" si="18"/>
        <v>22</v>
      </c>
      <c r="B27">
        <f t="shared" si="3"/>
        <v>22</v>
      </c>
      <c r="C27" s="3">
        <f t="shared" si="4"/>
        <v>91.823333333333323</v>
      </c>
      <c r="D27" s="4">
        <f t="shared" ca="1" si="5"/>
        <v>0</v>
      </c>
      <c r="E27" s="4">
        <f t="shared" ca="1" si="6"/>
        <v>0</v>
      </c>
      <c r="F27" s="4">
        <f t="shared" ca="1" si="7"/>
        <v>0</v>
      </c>
      <c r="G27" s="4">
        <f t="shared" si="8"/>
        <v>0</v>
      </c>
      <c r="H27" s="4">
        <f t="shared" ca="1" si="9"/>
        <v>0</v>
      </c>
      <c r="I27" s="4">
        <f t="shared" si="10"/>
        <v>0</v>
      </c>
      <c r="J27" s="4">
        <f t="shared" ca="1" si="11"/>
        <v>0</v>
      </c>
      <c r="K27" s="4">
        <f t="shared" si="12"/>
        <v>0</v>
      </c>
      <c r="L27" s="4">
        <f t="shared" ca="1" si="13"/>
        <v>0</v>
      </c>
      <c r="M27" s="4">
        <f t="shared" ca="1" si="17"/>
        <v>0</v>
      </c>
      <c r="N27" s="4">
        <f t="shared" ca="1" si="14"/>
        <v>0</v>
      </c>
      <c r="O27" s="4">
        <f t="shared" ca="1" si="15"/>
        <v>0</v>
      </c>
      <c r="P27" s="4">
        <f t="shared" ca="1" si="1"/>
        <v>0</v>
      </c>
      <c r="Q27" s="4">
        <f t="shared" ca="1" si="2"/>
        <v>0</v>
      </c>
    </row>
    <row r="28" spans="1:17" x14ac:dyDescent="0.2">
      <c r="A28">
        <f t="shared" si="18"/>
        <v>23</v>
      </c>
      <c r="B28">
        <f t="shared" si="3"/>
        <v>23</v>
      </c>
      <c r="C28" s="3">
        <f t="shared" si="4"/>
        <v>91.451666666666668</v>
      </c>
      <c r="D28" s="4">
        <f t="shared" ca="1" si="5"/>
        <v>0</v>
      </c>
      <c r="E28" s="4">
        <f t="shared" ca="1" si="6"/>
        <v>0</v>
      </c>
      <c r="F28" s="4">
        <f t="shared" ca="1" si="7"/>
        <v>0</v>
      </c>
      <c r="G28" s="4">
        <f t="shared" si="8"/>
        <v>0</v>
      </c>
      <c r="H28" s="4">
        <f t="shared" ca="1" si="9"/>
        <v>0</v>
      </c>
      <c r="I28" s="4">
        <f t="shared" si="10"/>
        <v>0</v>
      </c>
      <c r="J28" s="4">
        <f t="shared" ca="1" si="11"/>
        <v>0</v>
      </c>
      <c r="K28" s="4">
        <f t="shared" si="12"/>
        <v>0</v>
      </c>
      <c r="L28" s="4">
        <f t="shared" ca="1" si="13"/>
        <v>0</v>
      </c>
      <c r="M28" s="4">
        <f t="shared" ca="1" si="17"/>
        <v>0</v>
      </c>
      <c r="N28" s="4">
        <f t="shared" ca="1" si="14"/>
        <v>0</v>
      </c>
      <c r="O28" s="4">
        <f t="shared" ca="1" si="15"/>
        <v>0</v>
      </c>
      <c r="P28" s="4">
        <f t="shared" ca="1" si="1"/>
        <v>0</v>
      </c>
      <c r="Q28" s="4">
        <f t="shared" ca="1" si="2"/>
        <v>0</v>
      </c>
    </row>
    <row r="29" spans="1:17" x14ac:dyDescent="0.2">
      <c r="A29">
        <f t="shared" si="18"/>
        <v>24</v>
      </c>
      <c r="B29">
        <f t="shared" si="3"/>
        <v>24</v>
      </c>
      <c r="C29" s="3">
        <f t="shared" si="4"/>
        <v>91.08</v>
      </c>
      <c r="D29" s="4">
        <f t="shared" ca="1" si="5"/>
        <v>0</v>
      </c>
      <c r="E29" s="4">
        <f t="shared" ca="1" si="6"/>
        <v>0</v>
      </c>
      <c r="F29" s="4">
        <f t="shared" ca="1" si="7"/>
        <v>0</v>
      </c>
      <c r="G29" s="4">
        <f t="shared" si="8"/>
        <v>0</v>
      </c>
      <c r="H29" s="4">
        <f t="shared" ca="1" si="9"/>
        <v>0</v>
      </c>
      <c r="I29" s="4">
        <f t="shared" si="10"/>
        <v>0</v>
      </c>
      <c r="J29" s="4">
        <f t="shared" ca="1" si="11"/>
        <v>0</v>
      </c>
      <c r="K29" s="4">
        <f t="shared" si="12"/>
        <v>0</v>
      </c>
      <c r="L29" s="4">
        <f t="shared" ca="1" si="13"/>
        <v>0</v>
      </c>
      <c r="M29" s="4">
        <f t="shared" ca="1" si="17"/>
        <v>0</v>
      </c>
      <c r="N29" s="4">
        <f t="shared" ca="1" si="14"/>
        <v>0</v>
      </c>
      <c r="O29" s="4">
        <f t="shared" ca="1" si="15"/>
        <v>0</v>
      </c>
      <c r="P29" s="4">
        <f t="shared" ca="1" si="1"/>
        <v>0</v>
      </c>
      <c r="Q29" s="4">
        <f t="shared" ca="1" si="2"/>
        <v>0</v>
      </c>
    </row>
    <row r="30" spans="1:17" x14ac:dyDescent="0.2">
      <c r="A30">
        <f t="shared" si="18"/>
        <v>25</v>
      </c>
      <c r="B30">
        <f t="shared" si="3"/>
        <v>25</v>
      </c>
      <c r="C30" s="3">
        <f t="shared" si="4"/>
        <v>90.708333333333329</v>
      </c>
      <c r="D30" s="4">
        <f t="shared" ca="1" si="5"/>
        <v>0</v>
      </c>
      <c r="E30" s="4">
        <f t="shared" ca="1" si="6"/>
        <v>0</v>
      </c>
      <c r="F30" s="4">
        <f t="shared" ca="1" si="7"/>
        <v>0</v>
      </c>
      <c r="G30" s="4">
        <f t="shared" si="8"/>
        <v>0</v>
      </c>
      <c r="H30" s="4">
        <f t="shared" ca="1" si="9"/>
        <v>0</v>
      </c>
      <c r="I30" s="4">
        <f t="shared" si="10"/>
        <v>0</v>
      </c>
      <c r="J30" s="4">
        <f t="shared" ca="1" si="11"/>
        <v>0</v>
      </c>
      <c r="K30" s="4">
        <f t="shared" si="12"/>
        <v>0</v>
      </c>
      <c r="L30" s="4">
        <f t="shared" ca="1" si="13"/>
        <v>0</v>
      </c>
      <c r="M30" s="4">
        <f t="shared" ca="1" si="17"/>
        <v>0</v>
      </c>
      <c r="N30" s="4">
        <f t="shared" ca="1" si="14"/>
        <v>0</v>
      </c>
      <c r="O30" s="4">
        <f t="shared" ca="1" si="15"/>
        <v>0</v>
      </c>
      <c r="P30" s="4">
        <f t="shared" ca="1" si="1"/>
        <v>0</v>
      </c>
      <c r="Q30" s="4">
        <f t="shared" ca="1" si="2"/>
        <v>0</v>
      </c>
    </row>
    <row r="31" spans="1:17" x14ac:dyDescent="0.2">
      <c r="A31">
        <f t="shared" si="18"/>
        <v>26</v>
      </c>
      <c r="B31">
        <f t="shared" si="3"/>
        <v>26</v>
      </c>
      <c r="C31" s="3">
        <f t="shared" si="4"/>
        <v>90.336666666666659</v>
      </c>
      <c r="D31" s="4">
        <f t="shared" ca="1" si="5"/>
        <v>0</v>
      </c>
      <c r="E31" s="4">
        <f t="shared" ca="1" si="6"/>
        <v>0</v>
      </c>
      <c r="F31" s="4">
        <f t="shared" ca="1" si="7"/>
        <v>0</v>
      </c>
      <c r="G31" s="4">
        <f t="shared" si="8"/>
        <v>0</v>
      </c>
      <c r="H31" s="4">
        <f t="shared" ca="1" si="9"/>
        <v>0</v>
      </c>
      <c r="I31" s="4">
        <f t="shared" si="10"/>
        <v>0</v>
      </c>
      <c r="J31" s="4">
        <f t="shared" ca="1" si="11"/>
        <v>0</v>
      </c>
      <c r="K31" s="4">
        <f t="shared" si="12"/>
        <v>0</v>
      </c>
      <c r="L31" s="4">
        <f t="shared" ca="1" si="13"/>
        <v>0</v>
      </c>
      <c r="M31" s="4">
        <f t="shared" ca="1" si="17"/>
        <v>0</v>
      </c>
      <c r="N31" s="4">
        <f t="shared" ca="1" si="14"/>
        <v>0</v>
      </c>
      <c r="O31" s="4">
        <f t="shared" ca="1" si="15"/>
        <v>0</v>
      </c>
      <c r="P31" s="4">
        <f t="shared" ca="1" si="1"/>
        <v>0</v>
      </c>
      <c r="Q31" s="4">
        <f t="shared" ca="1" si="2"/>
        <v>0</v>
      </c>
    </row>
    <row r="32" spans="1:17" x14ac:dyDescent="0.2">
      <c r="A32">
        <f t="shared" si="18"/>
        <v>27</v>
      </c>
      <c r="B32">
        <f t="shared" si="3"/>
        <v>27</v>
      </c>
      <c r="C32" s="3">
        <f t="shared" si="4"/>
        <v>89.964999999999989</v>
      </c>
      <c r="D32" s="4">
        <f t="shared" ca="1" si="5"/>
        <v>0</v>
      </c>
      <c r="E32" s="4">
        <f t="shared" ca="1" si="6"/>
        <v>0</v>
      </c>
      <c r="F32" s="4">
        <f t="shared" ca="1" si="7"/>
        <v>0</v>
      </c>
      <c r="G32" s="4">
        <f t="shared" si="8"/>
        <v>0</v>
      </c>
      <c r="H32" s="4">
        <f t="shared" ca="1" si="9"/>
        <v>0</v>
      </c>
      <c r="I32" s="4">
        <f t="shared" si="10"/>
        <v>0</v>
      </c>
      <c r="J32" s="4">
        <f t="shared" ca="1" si="11"/>
        <v>0</v>
      </c>
      <c r="K32" s="4">
        <f t="shared" si="12"/>
        <v>0</v>
      </c>
      <c r="L32" s="4">
        <f t="shared" ca="1" si="13"/>
        <v>0</v>
      </c>
      <c r="M32" s="4">
        <f t="shared" ca="1" si="17"/>
        <v>0</v>
      </c>
      <c r="N32" s="4">
        <f t="shared" ca="1" si="14"/>
        <v>0</v>
      </c>
      <c r="O32" s="4">
        <f t="shared" ca="1" si="15"/>
        <v>0</v>
      </c>
      <c r="P32" s="4">
        <f t="shared" ca="1" si="1"/>
        <v>0</v>
      </c>
      <c r="Q32" s="4">
        <f t="shared" ca="1" si="2"/>
        <v>0</v>
      </c>
    </row>
    <row r="33" spans="1:17" x14ac:dyDescent="0.2">
      <c r="A33">
        <f t="shared" si="18"/>
        <v>28</v>
      </c>
      <c r="B33">
        <f t="shared" si="3"/>
        <v>28</v>
      </c>
      <c r="C33" s="3">
        <f t="shared" si="4"/>
        <v>89.593333333333334</v>
      </c>
      <c r="D33" s="4">
        <f t="shared" ca="1" si="5"/>
        <v>0</v>
      </c>
      <c r="E33" s="4">
        <f t="shared" ca="1" si="6"/>
        <v>0</v>
      </c>
      <c r="F33" s="4">
        <f t="shared" ca="1" si="7"/>
        <v>0</v>
      </c>
      <c r="G33" s="4">
        <f t="shared" si="8"/>
        <v>0</v>
      </c>
      <c r="H33" s="4">
        <f t="shared" ca="1" si="9"/>
        <v>0</v>
      </c>
      <c r="I33" s="4">
        <f t="shared" si="10"/>
        <v>0</v>
      </c>
      <c r="J33" s="4">
        <f t="shared" ca="1" si="11"/>
        <v>0</v>
      </c>
      <c r="K33" s="4">
        <f t="shared" si="12"/>
        <v>0</v>
      </c>
      <c r="L33" s="4">
        <f t="shared" ca="1" si="13"/>
        <v>0</v>
      </c>
      <c r="M33" s="4">
        <f t="shared" ca="1" si="17"/>
        <v>0</v>
      </c>
      <c r="N33" s="4">
        <f t="shared" ca="1" si="14"/>
        <v>0</v>
      </c>
      <c r="O33" s="4">
        <f t="shared" ca="1" si="15"/>
        <v>0</v>
      </c>
      <c r="P33" s="4">
        <f t="shared" ca="1" si="1"/>
        <v>0</v>
      </c>
      <c r="Q33" s="4">
        <f t="shared" ca="1" si="2"/>
        <v>0</v>
      </c>
    </row>
    <row r="34" spans="1:17" x14ac:dyDescent="0.2">
      <c r="A34">
        <f t="shared" si="18"/>
        <v>29</v>
      </c>
      <c r="B34">
        <f t="shared" si="3"/>
        <v>29</v>
      </c>
      <c r="C34" s="3">
        <f t="shared" si="4"/>
        <v>89.221666666666664</v>
      </c>
      <c r="D34" s="4">
        <f t="shared" ca="1" si="5"/>
        <v>0</v>
      </c>
      <c r="E34" s="4">
        <f t="shared" ca="1" si="6"/>
        <v>0</v>
      </c>
      <c r="F34" s="4">
        <f t="shared" ca="1" si="7"/>
        <v>0</v>
      </c>
      <c r="G34" s="4">
        <f t="shared" si="8"/>
        <v>0</v>
      </c>
      <c r="H34" s="4">
        <f t="shared" ca="1" si="9"/>
        <v>0</v>
      </c>
      <c r="I34" s="4">
        <f t="shared" si="10"/>
        <v>0</v>
      </c>
      <c r="J34" s="4">
        <f t="shared" ca="1" si="11"/>
        <v>0</v>
      </c>
      <c r="K34" s="4">
        <f t="shared" si="12"/>
        <v>0</v>
      </c>
      <c r="L34" s="4">
        <f t="shared" ca="1" si="13"/>
        <v>0</v>
      </c>
      <c r="M34" s="4">
        <f t="shared" ca="1" si="17"/>
        <v>0</v>
      </c>
      <c r="N34" s="4">
        <f t="shared" ca="1" si="14"/>
        <v>0</v>
      </c>
      <c r="O34" s="4">
        <f t="shared" ca="1" si="15"/>
        <v>0</v>
      </c>
      <c r="P34" s="4">
        <f t="shared" ca="1" si="1"/>
        <v>0</v>
      </c>
      <c r="Q34" s="4">
        <f t="shared" ca="1" si="2"/>
        <v>0</v>
      </c>
    </row>
    <row r="35" spans="1:17" x14ac:dyDescent="0.2">
      <c r="A35">
        <f t="shared" si="18"/>
        <v>30</v>
      </c>
      <c r="B35">
        <f t="shared" si="3"/>
        <v>30</v>
      </c>
      <c r="C35" s="3">
        <f t="shared" si="4"/>
        <v>88.85</v>
      </c>
      <c r="D35" s="4">
        <f t="shared" ca="1" si="5"/>
        <v>0</v>
      </c>
      <c r="E35" s="4">
        <f t="shared" ca="1" si="6"/>
        <v>0</v>
      </c>
      <c r="F35" s="4">
        <f t="shared" ca="1" si="7"/>
        <v>0</v>
      </c>
      <c r="G35" s="4">
        <f t="shared" si="8"/>
        <v>0</v>
      </c>
      <c r="H35" s="4">
        <f t="shared" ca="1" si="9"/>
        <v>0</v>
      </c>
      <c r="I35" s="4">
        <f t="shared" si="10"/>
        <v>0</v>
      </c>
      <c r="J35" s="4">
        <f t="shared" ca="1" si="11"/>
        <v>0</v>
      </c>
      <c r="K35" s="4">
        <f t="shared" si="12"/>
        <v>0</v>
      </c>
      <c r="L35" s="4">
        <f t="shared" ca="1" si="13"/>
        <v>0</v>
      </c>
      <c r="M35" s="4">
        <f t="shared" ca="1" si="17"/>
        <v>0</v>
      </c>
      <c r="N35" s="4">
        <f t="shared" ca="1" si="14"/>
        <v>0</v>
      </c>
      <c r="O35" s="4">
        <f t="shared" ca="1" si="15"/>
        <v>0</v>
      </c>
      <c r="P35" s="4">
        <f t="shared" ca="1" si="1"/>
        <v>0</v>
      </c>
      <c r="Q35" s="4">
        <f t="shared" ca="1" si="2"/>
        <v>0</v>
      </c>
    </row>
    <row r="36" spans="1:17" x14ac:dyDescent="0.2">
      <c r="A36">
        <f t="shared" si="18"/>
        <v>31</v>
      </c>
      <c r="B36" t="str">
        <f t="shared" si="3"/>
        <v/>
      </c>
      <c r="C36" s="3">
        <f t="shared" si="4"/>
        <v>0</v>
      </c>
      <c r="D36" s="4">
        <f t="shared" ca="1" si="5"/>
        <v>0</v>
      </c>
      <c r="E36" s="4">
        <f t="shared" ca="1" si="6"/>
        <v>0</v>
      </c>
      <c r="F36" s="4">
        <f t="shared" ca="1" si="7"/>
        <v>0</v>
      </c>
      <c r="G36" s="4">
        <f t="shared" si="8"/>
        <v>0</v>
      </c>
      <c r="H36" s="4">
        <f t="shared" ca="1" si="9"/>
        <v>0</v>
      </c>
      <c r="I36" s="4">
        <f t="shared" si="10"/>
        <v>0</v>
      </c>
      <c r="J36" s="4">
        <f t="shared" ca="1" si="11"/>
        <v>0</v>
      </c>
      <c r="K36" s="4">
        <f t="shared" si="12"/>
        <v>0</v>
      </c>
      <c r="L36" s="4" t="str">
        <f t="shared" si="13"/>
        <v/>
      </c>
      <c r="M36" s="4">
        <f t="shared" ca="1" si="17"/>
        <v>0</v>
      </c>
      <c r="N36" s="4">
        <f t="shared" ca="1" si="14"/>
        <v>0</v>
      </c>
      <c r="O36" s="4">
        <f t="shared" ca="1" si="15"/>
        <v>0</v>
      </c>
      <c r="P36" s="4" t="str">
        <f t="shared" ref="P36" si="19">IF(ISNUMBER(B36),IF(N36&lt;0,N36,0),"")</f>
        <v/>
      </c>
      <c r="Q36" s="4" t="str">
        <f t="shared" ref="Q36" si="20">IF(ISNUMBER(B36),IF(N36&gt;0,N36,0),"")</f>
        <v/>
      </c>
    </row>
    <row r="37" spans="1:17" x14ac:dyDescent="0.2">
      <c r="A37">
        <f t="shared" si="18"/>
        <v>32</v>
      </c>
      <c r="B37" t="str">
        <f t="shared" si="3"/>
        <v/>
      </c>
      <c r="C37" s="3">
        <f t="shared" si="4"/>
        <v>0</v>
      </c>
      <c r="D37" s="4">
        <f t="shared" ca="1" si="5"/>
        <v>0</v>
      </c>
      <c r="E37" s="4">
        <f t="shared" ca="1" si="6"/>
        <v>0</v>
      </c>
      <c r="F37" s="4">
        <f t="shared" ca="1" si="7"/>
        <v>0</v>
      </c>
      <c r="G37" s="4">
        <f t="shared" si="8"/>
        <v>0</v>
      </c>
      <c r="H37" s="4">
        <f t="shared" ca="1" si="9"/>
        <v>0</v>
      </c>
      <c r="I37" s="4">
        <f t="shared" si="10"/>
        <v>0</v>
      </c>
      <c r="J37" s="4">
        <f t="shared" ca="1" si="11"/>
        <v>0</v>
      </c>
      <c r="K37" s="4">
        <f t="shared" si="12"/>
        <v>0</v>
      </c>
      <c r="L37" s="4" t="str">
        <f t="shared" si="13"/>
        <v/>
      </c>
      <c r="M37" s="4">
        <f t="shared" ca="1" si="17"/>
        <v>0</v>
      </c>
      <c r="N37" s="4">
        <f t="shared" ca="1" si="14"/>
        <v>0</v>
      </c>
      <c r="O37" s="4">
        <f t="shared" ca="1" si="15"/>
        <v>0</v>
      </c>
      <c r="P37" s="4" t="str">
        <f t="shared" ref="P37:P68" si="21">IF(ISNUMBER(B37),IF(N37&lt;0,N37,0),"")</f>
        <v/>
      </c>
      <c r="Q37" s="4" t="str">
        <f t="shared" ref="Q37:Q68" si="22">IF(ISNUMBER(B37),IF(N37&gt;0,N37,0),"")</f>
        <v/>
      </c>
    </row>
    <row r="38" spans="1:17" x14ac:dyDescent="0.2">
      <c r="A38">
        <f t="shared" si="18"/>
        <v>33</v>
      </c>
      <c r="B38" t="str">
        <f t="shared" ref="B38:B69" si="23">IF(A38&lt;=_Lebensdauer,A38,"")</f>
        <v/>
      </c>
      <c r="C38" s="3">
        <f t="shared" ref="C38:C69" si="24">IF(ISNUMBER(B38),$C$5-B38*_Degradation_pro_Jahr_Standard,0)</f>
        <v>0</v>
      </c>
      <c r="D38" s="4">
        <f t="shared" ref="D38:D69" ca="1" si="25">_Ertrag_t.Vb.*C38/100</f>
        <v>0</v>
      </c>
      <c r="E38" s="4">
        <f t="shared" ref="E38:E69" ca="1" si="26">D38*_ENG_Rechenwert_t.Vb./100</f>
        <v>0</v>
      </c>
      <c r="F38" s="4">
        <f t="shared" ref="F38:F69" ca="1" si="27">(D38-E38)*_Tarif_Rücklieferung/100</f>
        <v>0</v>
      </c>
      <c r="G38" s="4">
        <f t="shared" ref="G38:G69" si="28">IF(_MWSt_pflichtig,F38*_MWSt_Satz/100,0)</f>
        <v>0</v>
      </c>
      <c r="H38" s="4">
        <f t="shared" ref="H38:H69" ca="1" si="29">E38*_Tarif_Bezug/100</f>
        <v>0</v>
      </c>
      <c r="I38" s="4">
        <f t="shared" ref="I38:I69" si="30">IF(_EIV_t_auszahlung=B38,-_EIV_t.Vb._Rechenwert,0)+IF(_EF_t=B38,-_EF_t.Vb._Rechenwert,0)</f>
        <v>0</v>
      </c>
      <c r="J38" s="4">
        <f t="shared" ref="J38:J69" ca="1" si="31">-D38*_Tarif_Unterhalt_Rechenwert_t.Vb./100</f>
        <v>0</v>
      </c>
      <c r="K38" s="4">
        <f t="shared" ref="K38:K69" si="32">IF(_MWSt_pflichtig,J38*_MWSt_Satz/100,0)</f>
        <v>0</v>
      </c>
      <c r="L38" s="4" t="str">
        <f t="shared" ref="L38:L69" si="33">IF(B38&lt;=_Lebensdauer,PMT(_Kap_Verzinsung/100,_Lebensdauer,_Investitionskosten_t.Vb.),"")</f>
        <v/>
      </c>
      <c r="M38" s="4">
        <f t="shared" ref="M38:M69" ca="1" si="34">SUM(F38:L38)</f>
        <v>0</v>
      </c>
      <c r="N38" s="4">
        <f t="shared" ref="N38:N69" ca="1" si="35">N37+M38</f>
        <v>0</v>
      </c>
      <c r="O38" s="4">
        <f t="shared" ref="O38:O69" ca="1" si="36">IF(AND(N37&lt;0,N38&gt;=0),B38,0)</f>
        <v>0</v>
      </c>
      <c r="P38" s="4" t="str">
        <f t="shared" si="21"/>
        <v/>
      </c>
      <c r="Q38" s="4" t="str">
        <f t="shared" si="22"/>
        <v/>
      </c>
    </row>
    <row r="39" spans="1:17" x14ac:dyDescent="0.2">
      <c r="A39">
        <f t="shared" si="18"/>
        <v>34</v>
      </c>
      <c r="B39" t="str">
        <f t="shared" si="23"/>
        <v/>
      </c>
      <c r="C39" s="3">
        <f t="shared" si="24"/>
        <v>0</v>
      </c>
      <c r="D39" s="4">
        <f t="shared" ca="1" si="25"/>
        <v>0</v>
      </c>
      <c r="E39" s="4">
        <f t="shared" ca="1" si="26"/>
        <v>0</v>
      </c>
      <c r="F39" s="4">
        <f t="shared" ca="1" si="27"/>
        <v>0</v>
      </c>
      <c r="G39" s="4">
        <f t="shared" si="28"/>
        <v>0</v>
      </c>
      <c r="H39" s="4">
        <f t="shared" ca="1" si="29"/>
        <v>0</v>
      </c>
      <c r="I39" s="4">
        <f t="shared" si="30"/>
        <v>0</v>
      </c>
      <c r="J39" s="4">
        <f t="shared" ca="1" si="31"/>
        <v>0</v>
      </c>
      <c r="K39" s="4">
        <f t="shared" si="32"/>
        <v>0</v>
      </c>
      <c r="L39" s="4" t="str">
        <f t="shared" si="33"/>
        <v/>
      </c>
      <c r="M39" s="4">
        <f t="shared" ca="1" si="34"/>
        <v>0</v>
      </c>
      <c r="N39" s="4">
        <f t="shared" ca="1" si="35"/>
        <v>0</v>
      </c>
      <c r="O39" s="4">
        <f t="shared" ca="1" si="36"/>
        <v>0</v>
      </c>
      <c r="P39" s="4" t="str">
        <f t="shared" si="21"/>
        <v/>
      </c>
      <c r="Q39" s="4" t="str">
        <f t="shared" si="22"/>
        <v/>
      </c>
    </row>
    <row r="40" spans="1:17" x14ac:dyDescent="0.2">
      <c r="A40">
        <f t="shared" si="18"/>
        <v>35</v>
      </c>
      <c r="B40" t="str">
        <f t="shared" si="23"/>
        <v/>
      </c>
      <c r="C40" s="3">
        <f t="shared" si="24"/>
        <v>0</v>
      </c>
      <c r="D40" s="4">
        <f t="shared" ca="1" si="25"/>
        <v>0</v>
      </c>
      <c r="E40" s="4">
        <f t="shared" ca="1" si="26"/>
        <v>0</v>
      </c>
      <c r="F40" s="4">
        <f t="shared" ca="1" si="27"/>
        <v>0</v>
      </c>
      <c r="G40" s="4">
        <f t="shared" si="28"/>
        <v>0</v>
      </c>
      <c r="H40" s="4">
        <f t="shared" ca="1" si="29"/>
        <v>0</v>
      </c>
      <c r="I40" s="4">
        <f t="shared" si="30"/>
        <v>0</v>
      </c>
      <c r="J40" s="4">
        <f t="shared" ca="1" si="31"/>
        <v>0</v>
      </c>
      <c r="K40" s="4">
        <f t="shared" si="32"/>
        <v>0</v>
      </c>
      <c r="L40" s="4" t="str">
        <f t="shared" si="33"/>
        <v/>
      </c>
      <c r="M40" s="4">
        <f t="shared" ca="1" si="34"/>
        <v>0</v>
      </c>
      <c r="N40" s="4">
        <f t="shared" ca="1" si="35"/>
        <v>0</v>
      </c>
      <c r="O40" s="4">
        <f t="shared" ca="1" si="36"/>
        <v>0</v>
      </c>
      <c r="P40" s="4" t="str">
        <f t="shared" si="21"/>
        <v/>
      </c>
      <c r="Q40" s="4" t="str">
        <f t="shared" si="22"/>
        <v/>
      </c>
    </row>
    <row r="41" spans="1:17" x14ac:dyDescent="0.2">
      <c r="A41">
        <f t="shared" si="18"/>
        <v>36</v>
      </c>
      <c r="B41" t="str">
        <f t="shared" si="23"/>
        <v/>
      </c>
      <c r="C41" s="3">
        <f t="shared" si="24"/>
        <v>0</v>
      </c>
      <c r="D41" s="4">
        <f t="shared" ca="1" si="25"/>
        <v>0</v>
      </c>
      <c r="E41" s="4">
        <f t="shared" ca="1" si="26"/>
        <v>0</v>
      </c>
      <c r="F41" s="4">
        <f t="shared" ca="1" si="27"/>
        <v>0</v>
      </c>
      <c r="G41" s="4">
        <f t="shared" si="28"/>
        <v>0</v>
      </c>
      <c r="H41" s="4">
        <f t="shared" ca="1" si="29"/>
        <v>0</v>
      </c>
      <c r="I41" s="4">
        <f t="shared" si="30"/>
        <v>0</v>
      </c>
      <c r="J41" s="4">
        <f t="shared" ca="1" si="31"/>
        <v>0</v>
      </c>
      <c r="K41" s="4">
        <f t="shared" si="32"/>
        <v>0</v>
      </c>
      <c r="L41" s="4" t="str">
        <f t="shared" si="33"/>
        <v/>
      </c>
      <c r="M41" s="4">
        <f t="shared" ca="1" si="34"/>
        <v>0</v>
      </c>
      <c r="N41" s="4">
        <f t="shared" ca="1" si="35"/>
        <v>0</v>
      </c>
      <c r="O41" s="4">
        <f t="shared" ca="1" si="36"/>
        <v>0</v>
      </c>
      <c r="P41" s="4" t="str">
        <f t="shared" si="21"/>
        <v/>
      </c>
      <c r="Q41" s="4" t="str">
        <f t="shared" si="22"/>
        <v/>
      </c>
    </row>
    <row r="42" spans="1:17" x14ac:dyDescent="0.2">
      <c r="A42">
        <f t="shared" si="18"/>
        <v>37</v>
      </c>
      <c r="B42" t="str">
        <f t="shared" si="23"/>
        <v/>
      </c>
      <c r="C42" s="3">
        <f t="shared" si="24"/>
        <v>0</v>
      </c>
      <c r="D42" s="4">
        <f t="shared" ca="1" si="25"/>
        <v>0</v>
      </c>
      <c r="E42" s="4">
        <f t="shared" ca="1" si="26"/>
        <v>0</v>
      </c>
      <c r="F42" s="4">
        <f t="shared" ca="1" si="27"/>
        <v>0</v>
      </c>
      <c r="G42" s="4">
        <f t="shared" si="28"/>
        <v>0</v>
      </c>
      <c r="H42" s="4">
        <f t="shared" ca="1" si="29"/>
        <v>0</v>
      </c>
      <c r="I42" s="4">
        <f t="shared" si="30"/>
        <v>0</v>
      </c>
      <c r="J42" s="4">
        <f t="shared" ca="1" si="31"/>
        <v>0</v>
      </c>
      <c r="K42" s="4">
        <f t="shared" si="32"/>
        <v>0</v>
      </c>
      <c r="L42" s="4" t="str">
        <f t="shared" si="33"/>
        <v/>
      </c>
      <c r="M42" s="4">
        <f t="shared" ca="1" si="34"/>
        <v>0</v>
      </c>
      <c r="N42" s="4">
        <f t="shared" ca="1" si="35"/>
        <v>0</v>
      </c>
      <c r="O42" s="4">
        <f t="shared" ca="1" si="36"/>
        <v>0</v>
      </c>
      <c r="P42" s="4" t="str">
        <f t="shared" si="21"/>
        <v/>
      </c>
      <c r="Q42" s="4" t="str">
        <f t="shared" si="22"/>
        <v/>
      </c>
    </row>
    <row r="43" spans="1:17" x14ac:dyDescent="0.2">
      <c r="A43">
        <f t="shared" si="18"/>
        <v>38</v>
      </c>
      <c r="B43" t="str">
        <f t="shared" si="23"/>
        <v/>
      </c>
      <c r="C43" s="3">
        <f t="shared" si="24"/>
        <v>0</v>
      </c>
      <c r="D43" s="4">
        <f t="shared" ca="1" si="25"/>
        <v>0</v>
      </c>
      <c r="E43" s="4">
        <f t="shared" ca="1" si="26"/>
        <v>0</v>
      </c>
      <c r="F43" s="4">
        <f t="shared" ca="1" si="27"/>
        <v>0</v>
      </c>
      <c r="G43" s="4">
        <f t="shared" si="28"/>
        <v>0</v>
      </c>
      <c r="H43" s="4">
        <f t="shared" ca="1" si="29"/>
        <v>0</v>
      </c>
      <c r="I43" s="4">
        <f t="shared" si="30"/>
        <v>0</v>
      </c>
      <c r="J43" s="4">
        <f t="shared" ca="1" si="31"/>
        <v>0</v>
      </c>
      <c r="K43" s="4">
        <f t="shared" si="32"/>
        <v>0</v>
      </c>
      <c r="L43" s="4" t="str">
        <f t="shared" si="33"/>
        <v/>
      </c>
      <c r="M43" s="4">
        <f t="shared" ca="1" si="34"/>
        <v>0</v>
      </c>
      <c r="N43" s="4">
        <f t="shared" ca="1" si="35"/>
        <v>0</v>
      </c>
      <c r="O43" s="4">
        <f t="shared" ca="1" si="36"/>
        <v>0</v>
      </c>
      <c r="P43" s="4" t="str">
        <f t="shared" si="21"/>
        <v/>
      </c>
      <c r="Q43" s="4" t="str">
        <f t="shared" si="22"/>
        <v/>
      </c>
    </row>
    <row r="44" spans="1:17" x14ac:dyDescent="0.2">
      <c r="A44">
        <f t="shared" si="18"/>
        <v>39</v>
      </c>
      <c r="B44" t="str">
        <f t="shared" si="23"/>
        <v/>
      </c>
      <c r="C44" s="3">
        <f t="shared" si="24"/>
        <v>0</v>
      </c>
      <c r="D44" s="4">
        <f t="shared" ca="1" si="25"/>
        <v>0</v>
      </c>
      <c r="E44" s="4">
        <f t="shared" ca="1" si="26"/>
        <v>0</v>
      </c>
      <c r="F44" s="4">
        <f t="shared" ca="1" si="27"/>
        <v>0</v>
      </c>
      <c r="G44" s="4">
        <f t="shared" si="28"/>
        <v>0</v>
      </c>
      <c r="H44" s="4">
        <f t="shared" ca="1" si="29"/>
        <v>0</v>
      </c>
      <c r="I44" s="4">
        <f t="shared" si="30"/>
        <v>0</v>
      </c>
      <c r="J44" s="4">
        <f t="shared" ca="1" si="31"/>
        <v>0</v>
      </c>
      <c r="K44" s="4">
        <f t="shared" si="32"/>
        <v>0</v>
      </c>
      <c r="L44" s="4" t="str">
        <f t="shared" si="33"/>
        <v/>
      </c>
      <c r="M44" s="4">
        <f t="shared" ca="1" si="34"/>
        <v>0</v>
      </c>
      <c r="N44" s="4">
        <f t="shared" ca="1" si="35"/>
        <v>0</v>
      </c>
      <c r="O44" s="4">
        <f t="shared" ca="1" si="36"/>
        <v>0</v>
      </c>
      <c r="P44" s="4" t="str">
        <f t="shared" si="21"/>
        <v/>
      </c>
      <c r="Q44" s="4" t="str">
        <f t="shared" si="22"/>
        <v/>
      </c>
    </row>
    <row r="45" spans="1:17" x14ac:dyDescent="0.2">
      <c r="A45">
        <f t="shared" si="18"/>
        <v>40</v>
      </c>
      <c r="B45" t="str">
        <f t="shared" si="23"/>
        <v/>
      </c>
      <c r="C45" s="3">
        <f t="shared" si="24"/>
        <v>0</v>
      </c>
      <c r="D45" s="4">
        <f t="shared" ca="1" si="25"/>
        <v>0</v>
      </c>
      <c r="E45" s="4">
        <f t="shared" ca="1" si="26"/>
        <v>0</v>
      </c>
      <c r="F45" s="4">
        <f t="shared" ca="1" si="27"/>
        <v>0</v>
      </c>
      <c r="G45" s="4">
        <f t="shared" si="28"/>
        <v>0</v>
      </c>
      <c r="H45" s="4">
        <f t="shared" ca="1" si="29"/>
        <v>0</v>
      </c>
      <c r="I45" s="4">
        <f t="shared" si="30"/>
        <v>0</v>
      </c>
      <c r="J45" s="4">
        <f t="shared" ca="1" si="31"/>
        <v>0</v>
      </c>
      <c r="K45" s="4">
        <f t="shared" si="32"/>
        <v>0</v>
      </c>
      <c r="L45" s="4" t="str">
        <f t="shared" si="33"/>
        <v/>
      </c>
      <c r="M45" s="4">
        <f t="shared" ca="1" si="34"/>
        <v>0</v>
      </c>
      <c r="N45" s="4">
        <f t="shared" ca="1" si="35"/>
        <v>0</v>
      </c>
      <c r="O45" s="4">
        <f t="shared" ca="1" si="36"/>
        <v>0</v>
      </c>
      <c r="P45" s="4" t="str">
        <f t="shared" si="21"/>
        <v/>
      </c>
      <c r="Q45" s="4" t="str">
        <f t="shared" si="22"/>
        <v/>
      </c>
    </row>
    <row r="46" spans="1:17" x14ac:dyDescent="0.2">
      <c r="A46">
        <f t="shared" si="18"/>
        <v>41</v>
      </c>
      <c r="B46" t="str">
        <f t="shared" si="23"/>
        <v/>
      </c>
      <c r="C46" s="3">
        <f t="shared" si="24"/>
        <v>0</v>
      </c>
      <c r="D46" s="4">
        <f t="shared" ca="1" si="25"/>
        <v>0</v>
      </c>
      <c r="E46" s="4">
        <f t="shared" ca="1" si="26"/>
        <v>0</v>
      </c>
      <c r="F46" s="4">
        <f t="shared" ca="1" si="27"/>
        <v>0</v>
      </c>
      <c r="G46" s="4">
        <f t="shared" si="28"/>
        <v>0</v>
      </c>
      <c r="H46" s="4">
        <f t="shared" ca="1" si="29"/>
        <v>0</v>
      </c>
      <c r="I46" s="4">
        <f t="shared" si="30"/>
        <v>0</v>
      </c>
      <c r="J46" s="4">
        <f t="shared" ca="1" si="31"/>
        <v>0</v>
      </c>
      <c r="K46" s="4">
        <f t="shared" si="32"/>
        <v>0</v>
      </c>
      <c r="L46" s="4" t="str">
        <f t="shared" si="33"/>
        <v/>
      </c>
      <c r="M46" s="4">
        <f t="shared" ca="1" si="34"/>
        <v>0</v>
      </c>
      <c r="N46" s="4">
        <f t="shared" ca="1" si="35"/>
        <v>0</v>
      </c>
      <c r="O46" s="4">
        <f t="shared" ca="1" si="36"/>
        <v>0</v>
      </c>
      <c r="P46" s="4" t="str">
        <f t="shared" si="21"/>
        <v/>
      </c>
      <c r="Q46" s="4" t="str">
        <f t="shared" si="22"/>
        <v/>
      </c>
    </row>
    <row r="47" spans="1:17" x14ac:dyDescent="0.2">
      <c r="A47">
        <f t="shared" si="18"/>
        <v>42</v>
      </c>
      <c r="B47" t="str">
        <f t="shared" si="23"/>
        <v/>
      </c>
      <c r="C47" s="3">
        <f t="shared" si="24"/>
        <v>0</v>
      </c>
      <c r="D47" s="4">
        <f t="shared" ca="1" si="25"/>
        <v>0</v>
      </c>
      <c r="E47" s="4">
        <f t="shared" ca="1" si="26"/>
        <v>0</v>
      </c>
      <c r="F47" s="4">
        <f t="shared" ca="1" si="27"/>
        <v>0</v>
      </c>
      <c r="G47" s="4">
        <f t="shared" si="28"/>
        <v>0</v>
      </c>
      <c r="H47" s="4">
        <f t="shared" ca="1" si="29"/>
        <v>0</v>
      </c>
      <c r="I47" s="4">
        <f t="shared" si="30"/>
        <v>0</v>
      </c>
      <c r="J47" s="4">
        <f t="shared" ca="1" si="31"/>
        <v>0</v>
      </c>
      <c r="K47" s="4">
        <f t="shared" si="32"/>
        <v>0</v>
      </c>
      <c r="L47" s="4" t="str">
        <f t="shared" si="33"/>
        <v/>
      </c>
      <c r="M47" s="4">
        <f t="shared" ca="1" si="34"/>
        <v>0</v>
      </c>
      <c r="N47" s="4">
        <f t="shared" ca="1" si="35"/>
        <v>0</v>
      </c>
      <c r="O47" s="4">
        <f t="shared" ca="1" si="36"/>
        <v>0</v>
      </c>
      <c r="P47" s="4" t="str">
        <f t="shared" si="21"/>
        <v/>
      </c>
      <c r="Q47" s="4" t="str">
        <f t="shared" si="22"/>
        <v/>
      </c>
    </row>
    <row r="48" spans="1:17" x14ac:dyDescent="0.2">
      <c r="A48">
        <f t="shared" si="18"/>
        <v>43</v>
      </c>
      <c r="B48" t="str">
        <f t="shared" si="23"/>
        <v/>
      </c>
      <c r="C48" s="3">
        <f t="shared" si="24"/>
        <v>0</v>
      </c>
      <c r="D48" s="4">
        <f t="shared" ca="1" si="25"/>
        <v>0</v>
      </c>
      <c r="E48" s="4">
        <f t="shared" ca="1" si="26"/>
        <v>0</v>
      </c>
      <c r="F48" s="4">
        <f t="shared" ca="1" si="27"/>
        <v>0</v>
      </c>
      <c r="G48" s="4">
        <f t="shared" si="28"/>
        <v>0</v>
      </c>
      <c r="H48" s="4">
        <f t="shared" ca="1" si="29"/>
        <v>0</v>
      </c>
      <c r="I48" s="4">
        <f t="shared" si="30"/>
        <v>0</v>
      </c>
      <c r="J48" s="4">
        <f t="shared" ca="1" si="31"/>
        <v>0</v>
      </c>
      <c r="K48" s="4">
        <f t="shared" si="32"/>
        <v>0</v>
      </c>
      <c r="L48" s="4" t="str">
        <f t="shared" si="33"/>
        <v/>
      </c>
      <c r="M48" s="4">
        <f t="shared" ca="1" si="34"/>
        <v>0</v>
      </c>
      <c r="N48" s="4">
        <f t="shared" ca="1" si="35"/>
        <v>0</v>
      </c>
      <c r="O48" s="4">
        <f t="shared" ca="1" si="36"/>
        <v>0</v>
      </c>
      <c r="P48" s="4" t="str">
        <f t="shared" si="21"/>
        <v/>
      </c>
      <c r="Q48" s="4" t="str">
        <f t="shared" si="22"/>
        <v/>
      </c>
    </row>
    <row r="49" spans="1:17" x14ac:dyDescent="0.2">
      <c r="A49">
        <f t="shared" si="18"/>
        <v>44</v>
      </c>
      <c r="B49" t="str">
        <f t="shared" si="23"/>
        <v/>
      </c>
      <c r="C49" s="3">
        <f t="shared" si="24"/>
        <v>0</v>
      </c>
      <c r="D49" s="4">
        <f t="shared" ca="1" si="25"/>
        <v>0</v>
      </c>
      <c r="E49" s="4">
        <f t="shared" ca="1" si="26"/>
        <v>0</v>
      </c>
      <c r="F49" s="4">
        <f t="shared" ca="1" si="27"/>
        <v>0</v>
      </c>
      <c r="G49" s="4">
        <f t="shared" si="28"/>
        <v>0</v>
      </c>
      <c r="H49" s="4">
        <f t="shared" ca="1" si="29"/>
        <v>0</v>
      </c>
      <c r="I49" s="4">
        <f t="shared" si="30"/>
        <v>0</v>
      </c>
      <c r="J49" s="4">
        <f t="shared" ca="1" si="31"/>
        <v>0</v>
      </c>
      <c r="K49" s="4">
        <f t="shared" si="32"/>
        <v>0</v>
      </c>
      <c r="L49" s="4" t="str">
        <f t="shared" si="33"/>
        <v/>
      </c>
      <c r="M49" s="4">
        <f t="shared" ca="1" si="34"/>
        <v>0</v>
      </c>
      <c r="N49" s="4">
        <f t="shared" ca="1" si="35"/>
        <v>0</v>
      </c>
      <c r="O49" s="4">
        <f t="shared" ca="1" si="36"/>
        <v>0</v>
      </c>
      <c r="P49" s="4" t="str">
        <f t="shared" si="21"/>
        <v/>
      </c>
      <c r="Q49" s="4" t="str">
        <f t="shared" si="22"/>
        <v/>
      </c>
    </row>
    <row r="50" spans="1:17" x14ac:dyDescent="0.2">
      <c r="A50">
        <f t="shared" si="18"/>
        <v>45</v>
      </c>
      <c r="B50" t="str">
        <f t="shared" si="23"/>
        <v/>
      </c>
      <c r="C50" s="3">
        <f t="shared" si="24"/>
        <v>0</v>
      </c>
      <c r="D50" s="4">
        <f t="shared" ca="1" si="25"/>
        <v>0</v>
      </c>
      <c r="E50" s="4">
        <f t="shared" ca="1" si="26"/>
        <v>0</v>
      </c>
      <c r="F50" s="4">
        <f t="shared" ca="1" si="27"/>
        <v>0</v>
      </c>
      <c r="G50" s="4">
        <f t="shared" si="28"/>
        <v>0</v>
      </c>
      <c r="H50" s="4">
        <f t="shared" ca="1" si="29"/>
        <v>0</v>
      </c>
      <c r="I50" s="4">
        <f t="shared" si="30"/>
        <v>0</v>
      </c>
      <c r="J50" s="4">
        <f t="shared" ca="1" si="31"/>
        <v>0</v>
      </c>
      <c r="K50" s="4">
        <f t="shared" si="32"/>
        <v>0</v>
      </c>
      <c r="L50" s="4" t="str">
        <f t="shared" si="33"/>
        <v/>
      </c>
      <c r="M50" s="4">
        <f t="shared" ca="1" si="34"/>
        <v>0</v>
      </c>
      <c r="N50" s="4">
        <f t="shared" ca="1" si="35"/>
        <v>0</v>
      </c>
      <c r="O50" s="4">
        <f t="shared" ca="1" si="36"/>
        <v>0</v>
      </c>
      <c r="P50" s="4" t="str">
        <f t="shared" si="21"/>
        <v/>
      </c>
      <c r="Q50" s="4" t="str">
        <f t="shared" si="22"/>
        <v/>
      </c>
    </row>
    <row r="51" spans="1:17" x14ac:dyDescent="0.2">
      <c r="A51">
        <f t="shared" si="18"/>
        <v>46</v>
      </c>
      <c r="B51" t="str">
        <f t="shared" si="23"/>
        <v/>
      </c>
      <c r="C51" s="3">
        <f t="shared" si="24"/>
        <v>0</v>
      </c>
      <c r="D51" s="4">
        <f t="shared" ca="1" si="25"/>
        <v>0</v>
      </c>
      <c r="E51" s="4">
        <f t="shared" ca="1" si="26"/>
        <v>0</v>
      </c>
      <c r="F51" s="4">
        <f t="shared" ca="1" si="27"/>
        <v>0</v>
      </c>
      <c r="G51" s="4">
        <f t="shared" si="28"/>
        <v>0</v>
      </c>
      <c r="H51" s="4">
        <f t="shared" ca="1" si="29"/>
        <v>0</v>
      </c>
      <c r="I51" s="4">
        <f t="shared" si="30"/>
        <v>0</v>
      </c>
      <c r="J51" s="4">
        <f t="shared" ca="1" si="31"/>
        <v>0</v>
      </c>
      <c r="K51" s="4">
        <f t="shared" si="32"/>
        <v>0</v>
      </c>
      <c r="L51" s="4" t="str">
        <f t="shared" si="33"/>
        <v/>
      </c>
      <c r="M51" s="4">
        <f t="shared" ca="1" si="34"/>
        <v>0</v>
      </c>
      <c r="N51" s="4">
        <f t="shared" ca="1" si="35"/>
        <v>0</v>
      </c>
      <c r="O51" s="4">
        <f t="shared" ca="1" si="36"/>
        <v>0</v>
      </c>
      <c r="P51" s="4" t="str">
        <f t="shared" si="21"/>
        <v/>
      </c>
      <c r="Q51" s="4" t="str">
        <f t="shared" si="22"/>
        <v/>
      </c>
    </row>
    <row r="52" spans="1:17" x14ac:dyDescent="0.2">
      <c r="A52">
        <f t="shared" si="18"/>
        <v>47</v>
      </c>
      <c r="B52" t="str">
        <f t="shared" si="23"/>
        <v/>
      </c>
      <c r="C52" s="3">
        <f t="shared" si="24"/>
        <v>0</v>
      </c>
      <c r="D52" s="4">
        <f t="shared" ca="1" si="25"/>
        <v>0</v>
      </c>
      <c r="E52" s="4">
        <f t="shared" ca="1" si="26"/>
        <v>0</v>
      </c>
      <c r="F52" s="4">
        <f t="shared" ca="1" si="27"/>
        <v>0</v>
      </c>
      <c r="G52" s="4">
        <f t="shared" si="28"/>
        <v>0</v>
      </c>
      <c r="H52" s="4">
        <f t="shared" ca="1" si="29"/>
        <v>0</v>
      </c>
      <c r="I52" s="4">
        <f t="shared" si="30"/>
        <v>0</v>
      </c>
      <c r="J52" s="4">
        <f t="shared" ca="1" si="31"/>
        <v>0</v>
      </c>
      <c r="K52" s="4">
        <f t="shared" si="32"/>
        <v>0</v>
      </c>
      <c r="L52" s="4" t="str">
        <f t="shared" si="33"/>
        <v/>
      </c>
      <c r="M52" s="4">
        <f t="shared" ca="1" si="34"/>
        <v>0</v>
      </c>
      <c r="N52" s="4">
        <f t="shared" ca="1" si="35"/>
        <v>0</v>
      </c>
      <c r="O52" s="4">
        <f t="shared" ca="1" si="36"/>
        <v>0</v>
      </c>
      <c r="P52" s="4" t="str">
        <f t="shared" si="21"/>
        <v/>
      </c>
      <c r="Q52" s="4" t="str">
        <f t="shared" si="22"/>
        <v/>
      </c>
    </row>
    <row r="53" spans="1:17" x14ac:dyDescent="0.2">
      <c r="A53">
        <f t="shared" si="18"/>
        <v>48</v>
      </c>
      <c r="B53" t="str">
        <f t="shared" si="23"/>
        <v/>
      </c>
      <c r="C53" s="3">
        <f t="shared" si="24"/>
        <v>0</v>
      </c>
      <c r="D53" s="4">
        <f t="shared" ca="1" si="25"/>
        <v>0</v>
      </c>
      <c r="E53" s="4">
        <f t="shared" ca="1" si="26"/>
        <v>0</v>
      </c>
      <c r="F53" s="4">
        <f t="shared" ca="1" si="27"/>
        <v>0</v>
      </c>
      <c r="G53" s="4">
        <f t="shared" si="28"/>
        <v>0</v>
      </c>
      <c r="H53" s="4">
        <f t="shared" ca="1" si="29"/>
        <v>0</v>
      </c>
      <c r="I53" s="4">
        <f t="shared" si="30"/>
        <v>0</v>
      </c>
      <c r="J53" s="4">
        <f t="shared" ca="1" si="31"/>
        <v>0</v>
      </c>
      <c r="K53" s="4">
        <f t="shared" si="32"/>
        <v>0</v>
      </c>
      <c r="L53" s="4" t="str">
        <f t="shared" si="33"/>
        <v/>
      </c>
      <c r="M53" s="4">
        <f t="shared" ca="1" si="34"/>
        <v>0</v>
      </c>
      <c r="N53" s="4">
        <f t="shared" ca="1" si="35"/>
        <v>0</v>
      </c>
      <c r="O53" s="4">
        <f t="shared" ca="1" si="36"/>
        <v>0</v>
      </c>
      <c r="P53" s="4" t="str">
        <f t="shared" si="21"/>
        <v/>
      </c>
      <c r="Q53" s="4" t="str">
        <f t="shared" si="22"/>
        <v/>
      </c>
    </row>
    <row r="54" spans="1:17" x14ac:dyDescent="0.2">
      <c r="A54">
        <f t="shared" si="18"/>
        <v>49</v>
      </c>
      <c r="B54" t="str">
        <f t="shared" si="23"/>
        <v/>
      </c>
      <c r="C54" s="3">
        <f t="shared" si="24"/>
        <v>0</v>
      </c>
      <c r="D54" s="4">
        <f t="shared" ca="1" si="25"/>
        <v>0</v>
      </c>
      <c r="E54" s="4">
        <f t="shared" ca="1" si="26"/>
        <v>0</v>
      </c>
      <c r="F54" s="4">
        <f t="shared" ca="1" si="27"/>
        <v>0</v>
      </c>
      <c r="G54" s="4">
        <f t="shared" si="28"/>
        <v>0</v>
      </c>
      <c r="H54" s="4">
        <f t="shared" ca="1" si="29"/>
        <v>0</v>
      </c>
      <c r="I54" s="4">
        <f t="shared" si="30"/>
        <v>0</v>
      </c>
      <c r="J54" s="4">
        <f t="shared" ca="1" si="31"/>
        <v>0</v>
      </c>
      <c r="K54" s="4">
        <f t="shared" si="32"/>
        <v>0</v>
      </c>
      <c r="L54" s="4" t="str">
        <f t="shared" si="33"/>
        <v/>
      </c>
      <c r="M54" s="4">
        <f t="shared" ca="1" si="34"/>
        <v>0</v>
      </c>
      <c r="N54" s="4">
        <f t="shared" ca="1" si="35"/>
        <v>0</v>
      </c>
      <c r="O54" s="4">
        <f t="shared" ca="1" si="36"/>
        <v>0</v>
      </c>
      <c r="P54" s="4" t="str">
        <f t="shared" si="21"/>
        <v/>
      </c>
      <c r="Q54" s="4" t="str">
        <f t="shared" si="22"/>
        <v/>
      </c>
    </row>
    <row r="55" spans="1:17" x14ac:dyDescent="0.2">
      <c r="A55">
        <f t="shared" si="18"/>
        <v>50</v>
      </c>
      <c r="B55" t="str">
        <f t="shared" si="23"/>
        <v/>
      </c>
      <c r="C55" s="3">
        <f t="shared" si="24"/>
        <v>0</v>
      </c>
      <c r="D55" s="4">
        <f t="shared" ca="1" si="25"/>
        <v>0</v>
      </c>
      <c r="E55" s="4">
        <f t="shared" ca="1" si="26"/>
        <v>0</v>
      </c>
      <c r="F55" s="4">
        <f t="shared" ca="1" si="27"/>
        <v>0</v>
      </c>
      <c r="G55" s="4">
        <f t="shared" si="28"/>
        <v>0</v>
      </c>
      <c r="H55" s="4">
        <f t="shared" ca="1" si="29"/>
        <v>0</v>
      </c>
      <c r="I55" s="4">
        <f t="shared" si="30"/>
        <v>0</v>
      </c>
      <c r="J55" s="4">
        <f t="shared" ca="1" si="31"/>
        <v>0</v>
      </c>
      <c r="K55" s="4">
        <f t="shared" si="32"/>
        <v>0</v>
      </c>
      <c r="L55" s="4" t="str">
        <f t="shared" si="33"/>
        <v/>
      </c>
      <c r="M55" s="4">
        <f t="shared" ca="1" si="34"/>
        <v>0</v>
      </c>
      <c r="N55" s="4">
        <f t="shared" ca="1" si="35"/>
        <v>0</v>
      </c>
      <c r="O55" s="4">
        <f t="shared" ca="1" si="36"/>
        <v>0</v>
      </c>
      <c r="P55" s="4" t="str">
        <f t="shared" si="21"/>
        <v/>
      </c>
      <c r="Q55" s="4" t="str">
        <f t="shared" si="22"/>
        <v/>
      </c>
    </row>
    <row r="56" spans="1:17" x14ac:dyDescent="0.2">
      <c r="A56">
        <f t="shared" si="18"/>
        <v>51</v>
      </c>
      <c r="B56" t="str">
        <f t="shared" si="23"/>
        <v/>
      </c>
      <c r="C56" s="3">
        <f t="shared" si="24"/>
        <v>0</v>
      </c>
      <c r="D56" s="4">
        <f t="shared" ca="1" si="25"/>
        <v>0</v>
      </c>
      <c r="E56" s="4">
        <f t="shared" ca="1" si="26"/>
        <v>0</v>
      </c>
      <c r="F56" s="4">
        <f t="shared" ca="1" si="27"/>
        <v>0</v>
      </c>
      <c r="G56" s="4">
        <f t="shared" si="28"/>
        <v>0</v>
      </c>
      <c r="H56" s="4">
        <f t="shared" ca="1" si="29"/>
        <v>0</v>
      </c>
      <c r="I56" s="4">
        <f t="shared" si="30"/>
        <v>0</v>
      </c>
      <c r="J56" s="4">
        <f t="shared" ca="1" si="31"/>
        <v>0</v>
      </c>
      <c r="K56" s="4">
        <f t="shared" si="32"/>
        <v>0</v>
      </c>
      <c r="L56" s="4" t="str">
        <f t="shared" si="33"/>
        <v/>
      </c>
      <c r="M56" s="4">
        <f t="shared" ca="1" si="34"/>
        <v>0</v>
      </c>
      <c r="N56" s="4">
        <f t="shared" ca="1" si="35"/>
        <v>0</v>
      </c>
      <c r="O56" s="4">
        <f t="shared" ca="1" si="36"/>
        <v>0</v>
      </c>
      <c r="P56" s="4" t="str">
        <f t="shared" si="21"/>
        <v/>
      </c>
      <c r="Q56" s="4" t="str">
        <f t="shared" si="22"/>
        <v/>
      </c>
    </row>
    <row r="57" spans="1:17" x14ac:dyDescent="0.2">
      <c r="A57">
        <f t="shared" si="18"/>
        <v>52</v>
      </c>
      <c r="B57" t="str">
        <f t="shared" si="23"/>
        <v/>
      </c>
      <c r="C57" s="3">
        <f t="shared" si="24"/>
        <v>0</v>
      </c>
      <c r="D57" s="4">
        <f t="shared" ca="1" si="25"/>
        <v>0</v>
      </c>
      <c r="E57" s="4">
        <f t="shared" ca="1" si="26"/>
        <v>0</v>
      </c>
      <c r="F57" s="4">
        <f t="shared" ca="1" si="27"/>
        <v>0</v>
      </c>
      <c r="G57" s="4">
        <f t="shared" si="28"/>
        <v>0</v>
      </c>
      <c r="H57" s="4">
        <f t="shared" ca="1" si="29"/>
        <v>0</v>
      </c>
      <c r="I57" s="4">
        <f t="shared" si="30"/>
        <v>0</v>
      </c>
      <c r="J57" s="4">
        <f t="shared" ca="1" si="31"/>
        <v>0</v>
      </c>
      <c r="K57" s="4">
        <f t="shared" si="32"/>
        <v>0</v>
      </c>
      <c r="L57" s="4" t="str">
        <f t="shared" si="33"/>
        <v/>
      </c>
      <c r="M57" s="4">
        <f t="shared" ca="1" si="34"/>
        <v>0</v>
      </c>
      <c r="N57" s="4">
        <f t="shared" ca="1" si="35"/>
        <v>0</v>
      </c>
      <c r="O57" s="4">
        <f t="shared" ca="1" si="36"/>
        <v>0</v>
      </c>
      <c r="P57" s="4" t="str">
        <f t="shared" si="21"/>
        <v/>
      </c>
      <c r="Q57" s="4" t="str">
        <f t="shared" si="22"/>
        <v/>
      </c>
    </row>
    <row r="58" spans="1:17" x14ac:dyDescent="0.2">
      <c r="A58">
        <f t="shared" si="18"/>
        <v>53</v>
      </c>
      <c r="B58" t="str">
        <f t="shared" si="23"/>
        <v/>
      </c>
      <c r="C58" s="3">
        <f t="shared" si="24"/>
        <v>0</v>
      </c>
      <c r="D58" s="4">
        <f t="shared" ca="1" si="25"/>
        <v>0</v>
      </c>
      <c r="E58" s="4">
        <f t="shared" ca="1" si="26"/>
        <v>0</v>
      </c>
      <c r="F58" s="4">
        <f t="shared" ca="1" si="27"/>
        <v>0</v>
      </c>
      <c r="G58" s="4">
        <f t="shared" si="28"/>
        <v>0</v>
      </c>
      <c r="H58" s="4">
        <f t="shared" ca="1" si="29"/>
        <v>0</v>
      </c>
      <c r="I58" s="4">
        <f t="shared" si="30"/>
        <v>0</v>
      </c>
      <c r="J58" s="4">
        <f t="shared" ca="1" si="31"/>
        <v>0</v>
      </c>
      <c r="K58" s="4">
        <f t="shared" si="32"/>
        <v>0</v>
      </c>
      <c r="L58" s="4" t="str">
        <f t="shared" si="33"/>
        <v/>
      </c>
      <c r="M58" s="4">
        <f t="shared" ca="1" si="34"/>
        <v>0</v>
      </c>
      <c r="N58" s="4">
        <f t="shared" ca="1" si="35"/>
        <v>0</v>
      </c>
      <c r="O58" s="4">
        <f t="shared" ca="1" si="36"/>
        <v>0</v>
      </c>
      <c r="P58" s="4" t="str">
        <f t="shared" si="21"/>
        <v/>
      </c>
      <c r="Q58" s="4" t="str">
        <f t="shared" si="22"/>
        <v/>
      </c>
    </row>
    <row r="59" spans="1:17" x14ac:dyDescent="0.2">
      <c r="A59">
        <f t="shared" si="18"/>
        <v>54</v>
      </c>
      <c r="B59" t="str">
        <f t="shared" si="23"/>
        <v/>
      </c>
      <c r="C59" s="3">
        <f t="shared" si="24"/>
        <v>0</v>
      </c>
      <c r="D59" s="4">
        <f t="shared" ca="1" si="25"/>
        <v>0</v>
      </c>
      <c r="E59" s="4">
        <f t="shared" ca="1" si="26"/>
        <v>0</v>
      </c>
      <c r="F59" s="4">
        <f t="shared" ca="1" si="27"/>
        <v>0</v>
      </c>
      <c r="G59" s="4">
        <f t="shared" si="28"/>
        <v>0</v>
      </c>
      <c r="H59" s="4">
        <f t="shared" ca="1" si="29"/>
        <v>0</v>
      </c>
      <c r="I59" s="4">
        <f t="shared" si="30"/>
        <v>0</v>
      </c>
      <c r="J59" s="4">
        <f t="shared" ca="1" si="31"/>
        <v>0</v>
      </c>
      <c r="K59" s="4">
        <f t="shared" si="32"/>
        <v>0</v>
      </c>
      <c r="L59" s="4" t="str">
        <f t="shared" si="33"/>
        <v/>
      </c>
      <c r="M59" s="4">
        <f t="shared" ca="1" si="34"/>
        <v>0</v>
      </c>
      <c r="N59" s="4">
        <f t="shared" ca="1" si="35"/>
        <v>0</v>
      </c>
      <c r="O59" s="4">
        <f t="shared" ca="1" si="36"/>
        <v>0</v>
      </c>
      <c r="P59" s="4" t="str">
        <f t="shared" si="21"/>
        <v/>
      </c>
      <c r="Q59" s="4" t="str">
        <f t="shared" si="22"/>
        <v/>
      </c>
    </row>
    <row r="60" spans="1:17" x14ac:dyDescent="0.2">
      <c r="A60">
        <f t="shared" si="18"/>
        <v>55</v>
      </c>
      <c r="B60" t="str">
        <f t="shared" si="23"/>
        <v/>
      </c>
      <c r="C60" s="3">
        <f t="shared" si="24"/>
        <v>0</v>
      </c>
      <c r="D60" s="4">
        <f t="shared" ca="1" si="25"/>
        <v>0</v>
      </c>
      <c r="E60" s="4">
        <f t="shared" ca="1" si="26"/>
        <v>0</v>
      </c>
      <c r="F60" s="4">
        <f t="shared" ca="1" si="27"/>
        <v>0</v>
      </c>
      <c r="G60" s="4">
        <f t="shared" si="28"/>
        <v>0</v>
      </c>
      <c r="H60" s="4">
        <f t="shared" ca="1" si="29"/>
        <v>0</v>
      </c>
      <c r="I60" s="4">
        <f t="shared" si="30"/>
        <v>0</v>
      </c>
      <c r="J60" s="4">
        <f t="shared" ca="1" si="31"/>
        <v>0</v>
      </c>
      <c r="K60" s="4">
        <f t="shared" si="32"/>
        <v>0</v>
      </c>
      <c r="L60" s="4" t="str">
        <f t="shared" si="33"/>
        <v/>
      </c>
      <c r="M60" s="4">
        <f t="shared" ca="1" si="34"/>
        <v>0</v>
      </c>
      <c r="N60" s="4">
        <f t="shared" ca="1" si="35"/>
        <v>0</v>
      </c>
      <c r="O60" s="4">
        <f t="shared" ca="1" si="36"/>
        <v>0</v>
      </c>
      <c r="P60" s="4" t="str">
        <f t="shared" si="21"/>
        <v/>
      </c>
      <c r="Q60" s="4" t="str">
        <f t="shared" si="22"/>
        <v/>
      </c>
    </row>
    <row r="61" spans="1:17" x14ac:dyDescent="0.2">
      <c r="A61">
        <f t="shared" si="18"/>
        <v>56</v>
      </c>
      <c r="B61" t="str">
        <f t="shared" si="23"/>
        <v/>
      </c>
      <c r="C61" s="3">
        <f t="shared" si="24"/>
        <v>0</v>
      </c>
      <c r="D61" s="4">
        <f t="shared" ca="1" si="25"/>
        <v>0</v>
      </c>
      <c r="E61" s="4">
        <f t="shared" ca="1" si="26"/>
        <v>0</v>
      </c>
      <c r="F61" s="4">
        <f t="shared" ca="1" si="27"/>
        <v>0</v>
      </c>
      <c r="G61" s="4">
        <f t="shared" si="28"/>
        <v>0</v>
      </c>
      <c r="H61" s="4">
        <f t="shared" ca="1" si="29"/>
        <v>0</v>
      </c>
      <c r="I61" s="4">
        <f t="shared" si="30"/>
        <v>0</v>
      </c>
      <c r="J61" s="4">
        <f t="shared" ca="1" si="31"/>
        <v>0</v>
      </c>
      <c r="K61" s="4">
        <f t="shared" si="32"/>
        <v>0</v>
      </c>
      <c r="L61" s="4" t="str">
        <f t="shared" si="33"/>
        <v/>
      </c>
      <c r="M61" s="4">
        <f t="shared" ca="1" si="34"/>
        <v>0</v>
      </c>
      <c r="N61" s="4">
        <f t="shared" ca="1" si="35"/>
        <v>0</v>
      </c>
      <c r="O61" s="4">
        <f t="shared" ca="1" si="36"/>
        <v>0</v>
      </c>
      <c r="P61" s="4" t="str">
        <f t="shared" si="21"/>
        <v/>
      </c>
      <c r="Q61" s="4" t="str">
        <f t="shared" si="22"/>
        <v/>
      </c>
    </row>
    <row r="62" spans="1:17" x14ac:dyDescent="0.2">
      <c r="A62">
        <f t="shared" si="18"/>
        <v>57</v>
      </c>
      <c r="B62" t="str">
        <f t="shared" si="23"/>
        <v/>
      </c>
      <c r="C62" s="3">
        <f t="shared" si="24"/>
        <v>0</v>
      </c>
      <c r="D62" s="4">
        <f t="shared" ca="1" si="25"/>
        <v>0</v>
      </c>
      <c r="E62" s="4">
        <f t="shared" ca="1" si="26"/>
        <v>0</v>
      </c>
      <c r="F62" s="4">
        <f t="shared" ca="1" si="27"/>
        <v>0</v>
      </c>
      <c r="G62" s="4">
        <f t="shared" si="28"/>
        <v>0</v>
      </c>
      <c r="H62" s="4">
        <f t="shared" ca="1" si="29"/>
        <v>0</v>
      </c>
      <c r="I62" s="4">
        <f t="shared" si="30"/>
        <v>0</v>
      </c>
      <c r="J62" s="4">
        <f t="shared" ca="1" si="31"/>
        <v>0</v>
      </c>
      <c r="K62" s="4">
        <f t="shared" si="32"/>
        <v>0</v>
      </c>
      <c r="L62" s="4" t="str">
        <f t="shared" si="33"/>
        <v/>
      </c>
      <c r="M62" s="4">
        <f t="shared" ca="1" si="34"/>
        <v>0</v>
      </c>
      <c r="N62" s="4">
        <f t="shared" ca="1" si="35"/>
        <v>0</v>
      </c>
      <c r="O62" s="4">
        <f t="shared" ca="1" si="36"/>
        <v>0</v>
      </c>
      <c r="P62" s="4" t="str">
        <f t="shared" si="21"/>
        <v/>
      </c>
      <c r="Q62" s="4" t="str">
        <f t="shared" si="22"/>
        <v/>
      </c>
    </row>
    <row r="63" spans="1:17" x14ac:dyDescent="0.2">
      <c r="A63">
        <f t="shared" si="18"/>
        <v>58</v>
      </c>
      <c r="B63" t="str">
        <f t="shared" si="23"/>
        <v/>
      </c>
      <c r="C63" s="3">
        <f t="shared" si="24"/>
        <v>0</v>
      </c>
      <c r="D63" s="4">
        <f t="shared" ca="1" si="25"/>
        <v>0</v>
      </c>
      <c r="E63" s="4">
        <f t="shared" ca="1" si="26"/>
        <v>0</v>
      </c>
      <c r="F63" s="4">
        <f t="shared" ca="1" si="27"/>
        <v>0</v>
      </c>
      <c r="G63" s="4">
        <f t="shared" si="28"/>
        <v>0</v>
      </c>
      <c r="H63" s="4">
        <f t="shared" ca="1" si="29"/>
        <v>0</v>
      </c>
      <c r="I63" s="4">
        <f t="shared" si="30"/>
        <v>0</v>
      </c>
      <c r="J63" s="4">
        <f t="shared" ca="1" si="31"/>
        <v>0</v>
      </c>
      <c r="K63" s="4">
        <f t="shared" si="32"/>
        <v>0</v>
      </c>
      <c r="L63" s="4" t="str">
        <f t="shared" si="33"/>
        <v/>
      </c>
      <c r="M63" s="4">
        <f t="shared" ca="1" si="34"/>
        <v>0</v>
      </c>
      <c r="N63" s="4">
        <f t="shared" ca="1" si="35"/>
        <v>0</v>
      </c>
      <c r="O63" s="4">
        <f t="shared" ca="1" si="36"/>
        <v>0</v>
      </c>
      <c r="P63" s="4" t="str">
        <f t="shared" si="21"/>
        <v/>
      </c>
      <c r="Q63" s="4" t="str">
        <f t="shared" si="22"/>
        <v/>
      </c>
    </row>
    <row r="64" spans="1:17" x14ac:dyDescent="0.2">
      <c r="A64">
        <f t="shared" si="18"/>
        <v>59</v>
      </c>
      <c r="B64" t="str">
        <f t="shared" si="23"/>
        <v/>
      </c>
      <c r="C64" s="3">
        <f t="shared" si="24"/>
        <v>0</v>
      </c>
      <c r="D64" s="4">
        <f t="shared" ca="1" si="25"/>
        <v>0</v>
      </c>
      <c r="E64" s="4">
        <f t="shared" ca="1" si="26"/>
        <v>0</v>
      </c>
      <c r="F64" s="4">
        <f t="shared" ca="1" si="27"/>
        <v>0</v>
      </c>
      <c r="G64" s="4">
        <f t="shared" si="28"/>
        <v>0</v>
      </c>
      <c r="H64" s="4">
        <f t="shared" ca="1" si="29"/>
        <v>0</v>
      </c>
      <c r="I64" s="4">
        <f t="shared" si="30"/>
        <v>0</v>
      </c>
      <c r="J64" s="4">
        <f t="shared" ca="1" si="31"/>
        <v>0</v>
      </c>
      <c r="K64" s="4">
        <f t="shared" si="32"/>
        <v>0</v>
      </c>
      <c r="L64" s="4" t="str">
        <f t="shared" si="33"/>
        <v/>
      </c>
      <c r="M64" s="4">
        <f t="shared" ca="1" si="34"/>
        <v>0</v>
      </c>
      <c r="N64" s="4">
        <f t="shared" ca="1" si="35"/>
        <v>0</v>
      </c>
      <c r="O64" s="4">
        <f t="shared" ca="1" si="36"/>
        <v>0</v>
      </c>
      <c r="P64" s="4" t="str">
        <f t="shared" si="21"/>
        <v/>
      </c>
      <c r="Q64" s="4" t="str">
        <f t="shared" si="22"/>
        <v/>
      </c>
    </row>
    <row r="65" spans="1:17" x14ac:dyDescent="0.2">
      <c r="A65">
        <f t="shared" si="18"/>
        <v>60</v>
      </c>
      <c r="B65" t="str">
        <f t="shared" si="23"/>
        <v/>
      </c>
      <c r="C65" s="3">
        <f t="shared" si="24"/>
        <v>0</v>
      </c>
      <c r="D65" s="4">
        <f t="shared" ca="1" si="25"/>
        <v>0</v>
      </c>
      <c r="E65" s="4">
        <f t="shared" ca="1" si="26"/>
        <v>0</v>
      </c>
      <c r="F65" s="4">
        <f t="shared" ca="1" si="27"/>
        <v>0</v>
      </c>
      <c r="G65" s="4">
        <f t="shared" si="28"/>
        <v>0</v>
      </c>
      <c r="H65" s="4">
        <f t="shared" ca="1" si="29"/>
        <v>0</v>
      </c>
      <c r="I65" s="4">
        <f t="shared" si="30"/>
        <v>0</v>
      </c>
      <c r="J65" s="4">
        <f t="shared" ca="1" si="31"/>
        <v>0</v>
      </c>
      <c r="K65" s="4">
        <f t="shared" si="32"/>
        <v>0</v>
      </c>
      <c r="L65" s="4" t="str">
        <f t="shared" si="33"/>
        <v/>
      </c>
      <c r="M65" s="4">
        <f t="shared" ca="1" si="34"/>
        <v>0</v>
      </c>
      <c r="N65" s="4">
        <f t="shared" ca="1" si="35"/>
        <v>0</v>
      </c>
      <c r="O65" s="4">
        <f t="shared" ca="1" si="36"/>
        <v>0</v>
      </c>
      <c r="P65" s="4" t="str">
        <f t="shared" si="21"/>
        <v/>
      </c>
      <c r="Q65" s="4" t="str">
        <f t="shared" si="22"/>
        <v/>
      </c>
    </row>
    <row r="66" spans="1:17" x14ac:dyDescent="0.2">
      <c r="A66">
        <f t="shared" si="18"/>
        <v>61</v>
      </c>
      <c r="B66" t="str">
        <f t="shared" si="23"/>
        <v/>
      </c>
      <c r="C66" s="3">
        <f t="shared" si="24"/>
        <v>0</v>
      </c>
      <c r="D66" s="4">
        <f t="shared" ca="1" si="25"/>
        <v>0</v>
      </c>
      <c r="E66" s="4">
        <f t="shared" ca="1" si="26"/>
        <v>0</v>
      </c>
      <c r="F66" s="4">
        <f t="shared" ca="1" si="27"/>
        <v>0</v>
      </c>
      <c r="G66" s="4">
        <f t="shared" si="28"/>
        <v>0</v>
      </c>
      <c r="H66" s="4">
        <f t="shared" ca="1" si="29"/>
        <v>0</v>
      </c>
      <c r="I66" s="4">
        <f t="shared" si="30"/>
        <v>0</v>
      </c>
      <c r="J66" s="4">
        <f t="shared" ca="1" si="31"/>
        <v>0</v>
      </c>
      <c r="K66" s="4">
        <f t="shared" si="32"/>
        <v>0</v>
      </c>
      <c r="L66" s="4" t="str">
        <f t="shared" si="33"/>
        <v/>
      </c>
      <c r="M66" s="4">
        <f t="shared" ca="1" si="34"/>
        <v>0</v>
      </c>
      <c r="N66" s="4">
        <f t="shared" ca="1" si="35"/>
        <v>0</v>
      </c>
      <c r="O66" s="4">
        <f t="shared" ca="1" si="36"/>
        <v>0</v>
      </c>
      <c r="P66" s="4" t="str">
        <f t="shared" si="21"/>
        <v/>
      </c>
      <c r="Q66" s="4" t="str">
        <f t="shared" si="22"/>
        <v/>
      </c>
    </row>
    <row r="67" spans="1:17" x14ac:dyDescent="0.2">
      <c r="A67">
        <f t="shared" si="18"/>
        <v>62</v>
      </c>
      <c r="B67" t="str">
        <f t="shared" si="23"/>
        <v/>
      </c>
      <c r="C67" s="3">
        <f t="shared" si="24"/>
        <v>0</v>
      </c>
      <c r="D67" s="4">
        <f t="shared" ca="1" si="25"/>
        <v>0</v>
      </c>
      <c r="E67" s="4">
        <f t="shared" ca="1" si="26"/>
        <v>0</v>
      </c>
      <c r="F67" s="4">
        <f t="shared" ca="1" si="27"/>
        <v>0</v>
      </c>
      <c r="G67" s="4">
        <f t="shared" si="28"/>
        <v>0</v>
      </c>
      <c r="H67" s="4">
        <f t="shared" ca="1" si="29"/>
        <v>0</v>
      </c>
      <c r="I67" s="4">
        <f t="shared" si="30"/>
        <v>0</v>
      </c>
      <c r="J67" s="4">
        <f t="shared" ca="1" si="31"/>
        <v>0</v>
      </c>
      <c r="K67" s="4">
        <f t="shared" si="32"/>
        <v>0</v>
      </c>
      <c r="L67" s="4" t="str">
        <f t="shared" si="33"/>
        <v/>
      </c>
      <c r="M67" s="4">
        <f t="shared" ca="1" si="34"/>
        <v>0</v>
      </c>
      <c r="N67" s="4">
        <f t="shared" ca="1" si="35"/>
        <v>0</v>
      </c>
      <c r="O67" s="4">
        <f t="shared" ca="1" si="36"/>
        <v>0</v>
      </c>
      <c r="P67" s="4" t="str">
        <f t="shared" si="21"/>
        <v/>
      </c>
      <c r="Q67" s="4" t="str">
        <f t="shared" si="22"/>
        <v/>
      </c>
    </row>
    <row r="68" spans="1:17" x14ac:dyDescent="0.2">
      <c r="A68">
        <f t="shared" si="18"/>
        <v>63</v>
      </c>
      <c r="B68" t="str">
        <f t="shared" si="23"/>
        <v/>
      </c>
      <c r="C68" s="3">
        <f t="shared" si="24"/>
        <v>0</v>
      </c>
      <c r="D68" s="4">
        <f t="shared" ca="1" si="25"/>
        <v>0</v>
      </c>
      <c r="E68" s="4">
        <f t="shared" ca="1" si="26"/>
        <v>0</v>
      </c>
      <c r="F68" s="4">
        <f t="shared" ca="1" si="27"/>
        <v>0</v>
      </c>
      <c r="G68" s="4">
        <f t="shared" si="28"/>
        <v>0</v>
      </c>
      <c r="H68" s="4">
        <f t="shared" ca="1" si="29"/>
        <v>0</v>
      </c>
      <c r="I68" s="4">
        <f t="shared" si="30"/>
        <v>0</v>
      </c>
      <c r="J68" s="4">
        <f t="shared" ca="1" si="31"/>
        <v>0</v>
      </c>
      <c r="K68" s="4">
        <f t="shared" si="32"/>
        <v>0</v>
      </c>
      <c r="L68" s="4" t="str">
        <f t="shared" si="33"/>
        <v/>
      </c>
      <c r="M68" s="4">
        <f t="shared" ca="1" si="34"/>
        <v>0</v>
      </c>
      <c r="N68" s="4">
        <f t="shared" ca="1" si="35"/>
        <v>0</v>
      </c>
      <c r="O68" s="4">
        <f t="shared" ca="1" si="36"/>
        <v>0</v>
      </c>
      <c r="P68" s="4" t="str">
        <f t="shared" si="21"/>
        <v/>
      </c>
      <c r="Q68" s="4" t="str">
        <f t="shared" si="22"/>
        <v/>
      </c>
    </row>
    <row r="69" spans="1:17" x14ac:dyDescent="0.2">
      <c r="A69">
        <f t="shared" si="18"/>
        <v>64</v>
      </c>
      <c r="B69" t="str">
        <f t="shared" si="23"/>
        <v/>
      </c>
      <c r="C69" s="3">
        <f t="shared" si="24"/>
        <v>0</v>
      </c>
      <c r="D69" s="4">
        <f t="shared" ca="1" si="25"/>
        <v>0</v>
      </c>
      <c r="E69" s="4">
        <f t="shared" ca="1" si="26"/>
        <v>0</v>
      </c>
      <c r="F69" s="4">
        <f t="shared" ca="1" si="27"/>
        <v>0</v>
      </c>
      <c r="G69" s="4">
        <f t="shared" si="28"/>
        <v>0</v>
      </c>
      <c r="H69" s="4">
        <f t="shared" ca="1" si="29"/>
        <v>0</v>
      </c>
      <c r="I69" s="4">
        <f t="shared" si="30"/>
        <v>0</v>
      </c>
      <c r="J69" s="4">
        <f t="shared" ca="1" si="31"/>
        <v>0</v>
      </c>
      <c r="K69" s="4">
        <f t="shared" si="32"/>
        <v>0</v>
      </c>
      <c r="L69" s="4" t="str">
        <f t="shared" si="33"/>
        <v/>
      </c>
      <c r="M69" s="4">
        <f t="shared" ca="1" si="34"/>
        <v>0</v>
      </c>
      <c r="N69" s="4">
        <f t="shared" ca="1" si="35"/>
        <v>0</v>
      </c>
      <c r="O69" s="4">
        <f t="shared" ca="1" si="36"/>
        <v>0</v>
      </c>
      <c r="P69" s="4" t="str">
        <f t="shared" ref="P69:P105" si="37">IF(ISNUMBER(B69),IF(N69&lt;0,N69,0),"")</f>
        <v/>
      </c>
      <c r="Q69" s="4" t="str">
        <f t="shared" ref="Q69:Q105" si="38">IF(ISNUMBER(B69),IF(N69&gt;0,N69,0),"")</f>
        <v/>
      </c>
    </row>
    <row r="70" spans="1:17" x14ac:dyDescent="0.2">
      <c r="A70">
        <f t="shared" si="18"/>
        <v>65</v>
      </c>
      <c r="B70" t="str">
        <f t="shared" ref="B70:B101" si="39">IF(A70&lt;=_Lebensdauer,A70,"")</f>
        <v/>
      </c>
      <c r="C70" s="3">
        <f t="shared" ref="C70:C101" si="40">IF(ISNUMBER(B70),$C$5-B70*_Degradation_pro_Jahr_Standard,0)</f>
        <v>0</v>
      </c>
      <c r="D70" s="4">
        <f t="shared" ref="D70:D101" ca="1" si="41">_Ertrag_t.Vb.*C70/100</f>
        <v>0</v>
      </c>
      <c r="E70" s="4">
        <f t="shared" ref="E70:E101" ca="1" si="42">D70*_ENG_Rechenwert_t.Vb./100</f>
        <v>0</v>
      </c>
      <c r="F70" s="4">
        <f t="shared" ref="F70:F101" ca="1" si="43">(D70-E70)*_Tarif_Rücklieferung/100</f>
        <v>0</v>
      </c>
      <c r="G70" s="4">
        <f t="shared" ref="G70:G101" si="44">IF(_MWSt_pflichtig,F70*_MWSt_Satz/100,0)</f>
        <v>0</v>
      </c>
      <c r="H70" s="4">
        <f t="shared" ref="H70:H105" ca="1" si="45">E70*_Tarif_Bezug/100</f>
        <v>0</v>
      </c>
      <c r="I70" s="4">
        <f t="shared" ref="I70:I105" si="46">IF(_EIV_t_auszahlung=B70,-_EIV_t.Vb._Rechenwert,0)+IF(_EF_t=B70,-_EF_t.Vb._Rechenwert,0)</f>
        <v>0</v>
      </c>
      <c r="J70" s="4">
        <f t="shared" ref="J70:J105" ca="1" si="47">-D70*_Tarif_Unterhalt_Rechenwert_t.Vb./100</f>
        <v>0</v>
      </c>
      <c r="K70" s="4">
        <f t="shared" ref="K70:K101" si="48">IF(_MWSt_pflichtig,J70*_MWSt_Satz/100,0)</f>
        <v>0</v>
      </c>
      <c r="L70" s="4" t="str">
        <f t="shared" ref="L70:L105" si="49">IF(B70&lt;=_Lebensdauer,PMT(_Kap_Verzinsung/100,_Lebensdauer,_Investitionskosten_t.Vb.),"")</f>
        <v/>
      </c>
      <c r="M70" s="4">
        <f t="shared" ref="M70:M101" ca="1" si="50">SUM(F70:L70)</f>
        <v>0</v>
      </c>
      <c r="N70" s="4">
        <f t="shared" ref="N70:N101" ca="1" si="51">N69+M70</f>
        <v>0</v>
      </c>
      <c r="O70" s="4">
        <f t="shared" ref="O70:O101" ca="1" si="52">IF(AND(N69&lt;0,N70&gt;=0),B70,0)</f>
        <v>0</v>
      </c>
      <c r="P70" s="4" t="str">
        <f t="shared" si="37"/>
        <v/>
      </c>
      <c r="Q70" s="4" t="str">
        <f t="shared" si="38"/>
        <v/>
      </c>
    </row>
    <row r="71" spans="1:17" x14ac:dyDescent="0.2">
      <c r="A71">
        <f t="shared" si="18"/>
        <v>66</v>
      </c>
      <c r="B71" t="str">
        <f t="shared" si="39"/>
        <v/>
      </c>
      <c r="C71" s="3">
        <f t="shared" si="40"/>
        <v>0</v>
      </c>
      <c r="D71" s="4">
        <f t="shared" ca="1" si="41"/>
        <v>0</v>
      </c>
      <c r="E71" s="4">
        <f t="shared" ca="1" si="42"/>
        <v>0</v>
      </c>
      <c r="F71" s="4">
        <f t="shared" ca="1" si="43"/>
        <v>0</v>
      </c>
      <c r="G71" s="4">
        <f t="shared" si="44"/>
        <v>0</v>
      </c>
      <c r="H71" s="4">
        <f t="shared" ca="1" si="45"/>
        <v>0</v>
      </c>
      <c r="I71" s="4">
        <f t="shared" si="46"/>
        <v>0</v>
      </c>
      <c r="J71" s="4">
        <f t="shared" ca="1" si="47"/>
        <v>0</v>
      </c>
      <c r="K71" s="4">
        <f t="shared" si="48"/>
        <v>0</v>
      </c>
      <c r="L71" s="4" t="str">
        <f t="shared" si="49"/>
        <v/>
      </c>
      <c r="M71" s="4">
        <f t="shared" ca="1" si="50"/>
        <v>0</v>
      </c>
      <c r="N71" s="4">
        <f t="shared" ca="1" si="51"/>
        <v>0</v>
      </c>
      <c r="O71" s="4">
        <f t="shared" ca="1" si="52"/>
        <v>0</v>
      </c>
      <c r="P71" s="4" t="str">
        <f t="shared" si="37"/>
        <v/>
      </c>
      <c r="Q71" s="4" t="str">
        <f t="shared" si="38"/>
        <v/>
      </c>
    </row>
    <row r="72" spans="1:17" x14ac:dyDescent="0.2">
      <c r="A72">
        <f t="shared" si="18"/>
        <v>67</v>
      </c>
      <c r="B72" t="str">
        <f t="shared" si="39"/>
        <v/>
      </c>
      <c r="C72" s="3">
        <f t="shared" si="40"/>
        <v>0</v>
      </c>
      <c r="D72" s="4">
        <f t="shared" ca="1" si="41"/>
        <v>0</v>
      </c>
      <c r="E72" s="4">
        <f t="shared" ca="1" si="42"/>
        <v>0</v>
      </c>
      <c r="F72" s="4">
        <f t="shared" ca="1" si="43"/>
        <v>0</v>
      </c>
      <c r="G72" s="4">
        <f t="shared" si="44"/>
        <v>0</v>
      </c>
      <c r="H72" s="4">
        <f t="shared" ca="1" si="45"/>
        <v>0</v>
      </c>
      <c r="I72" s="4">
        <f t="shared" si="46"/>
        <v>0</v>
      </c>
      <c r="J72" s="4">
        <f t="shared" ca="1" si="47"/>
        <v>0</v>
      </c>
      <c r="K72" s="4">
        <f t="shared" si="48"/>
        <v>0</v>
      </c>
      <c r="L72" s="4" t="str">
        <f t="shared" si="49"/>
        <v/>
      </c>
      <c r="M72" s="4">
        <f t="shared" ca="1" si="50"/>
        <v>0</v>
      </c>
      <c r="N72" s="4">
        <f t="shared" ca="1" si="51"/>
        <v>0</v>
      </c>
      <c r="O72" s="4">
        <f t="shared" ca="1" si="52"/>
        <v>0</v>
      </c>
      <c r="P72" s="4" t="str">
        <f t="shared" si="37"/>
        <v/>
      </c>
      <c r="Q72" s="4" t="str">
        <f t="shared" si="38"/>
        <v/>
      </c>
    </row>
    <row r="73" spans="1:17" x14ac:dyDescent="0.2">
      <c r="A73">
        <f t="shared" si="18"/>
        <v>68</v>
      </c>
      <c r="B73" t="str">
        <f t="shared" si="39"/>
        <v/>
      </c>
      <c r="C73" s="3">
        <f t="shared" si="40"/>
        <v>0</v>
      </c>
      <c r="D73" s="4">
        <f t="shared" ca="1" si="41"/>
        <v>0</v>
      </c>
      <c r="E73" s="4">
        <f t="shared" ca="1" si="42"/>
        <v>0</v>
      </c>
      <c r="F73" s="4">
        <f t="shared" ca="1" si="43"/>
        <v>0</v>
      </c>
      <c r="G73" s="4">
        <f t="shared" si="44"/>
        <v>0</v>
      </c>
      <c r="H73" s="4">
        <f t="shared" ca="1" si="45"/>
        <v>0</v>
      </c>
      <c r="I73" s="4">
        <f t="shared" si="46"/>
        <v>0</v>
      </c>
      <c r="J73" s="4">
        <f t="shared" ca="1" si="47"/>
        <v>0</v>
      </c>
      <c r="K73" s="4">
        <f t="shared" si="48"/>
        <v>0</v>
      </c>
      <c r="L73" s="4" t="str">
        <f t="shared" si="49"/>
        <v/>
      </c>
      <c r="M73" s="4">
        <f t="shared" ca="1" si="50"/>
        <v>0</v>
      </c>
      <c r="N73" s="4">
        <f t="shared" ca="1" si="51"/>
        <v>0</v>
      </c>
      <c r="O73" s="4">
        <f t="shared" ca="1" si="52"/>
        <v>0</v>
      </c>
      <c r="P73" s="4" t="str">
        <f t="shared" si="37"/>
        <v/>
      </c>
      <c r="Q73" s="4" t="str">
        <f t="shared" si="38"/>
        <v/>
      </c>
    </row>
    <row r="74" spans="1:17" x14ac:dyDescent="0.2">
      <c r="A74">
        <f t="shared" si="18"/>
        <v>69</v>
      </c>
      <c r="B74" t="str">
        <f t="shared" si="39"/>
        <v/>
      </c>
      <c r="C74" s="3">
        <f t="shared" si="40"/>
        <v>0</v>
      </c>
      <c r="D74" s="4">
        <f t="shared" ca="1" si="41"/>
        <v>0</v>
      </c>
      <c r="E74" s="4">
        <f t="shared" ca="1" si="42"/>
        <v>0</v>
      </c>
      <c r="F74" s="4">
        <f t="shared" ca="1" si="43"/>
        <v>0</v>
      </c>
      <c r="G74" s="4">
        <f t="shared" si="44"/>
        <v>0</v>
      </c>
      <c r="H74" s="4">
        <f t="shared" ca="1" si="45"/>
        <v>0</v>
      </c>
      <c r="I74" s="4">
        <f t="shared" si="46"/>
        <v>0</v>
      </c>
      <c r="J74" s="4">
        <f t="shared" ca="1" si="47"/>
        <v>0</v>
      </c>
      <c r="K74" s="4">
        <f t="shared" si="48"/>
        <v>0</v>
      </c>
      <c r="L74" s="4" t="str">
        <f t="shared" si="49"/>
        <v/>
      </c>
      <c r="M74" s="4">
        <f t="shared" ca="1" si="50"/>
        <v>0</v>
      </c>
      <c r="N74" s="4">
        <f t="shared" ca="1" si="51"/>
        <v>0</v>
      </c>
      <c r="O74" s="4">
        <f t="shared" ca="1" si="52"/>
        <v>0</v>
      </c>
      <c r="P74" s="4" t="str">
        <f t="shared" si="37"/>
        <v/>
      </c>
      <c r="Q74" s="4" t="str">
        <f t="shared" si="38"/>
        <v/>
      </c>
    </row>
    <row r="75" spans="1:17" x14ac:dyDescent="0.2">
      <c r="A75">
        <f t="shared" ref="A75:A105" si="53">A74+1</f>
        <v>70</v>
      </c>
      <c r="B75" t="str">
        <f t="shared" si="39"/>
        <v/>
      </c>
      <c r="C75" s="3">
        <f t="shared" si="40"/>
        <v>0</v>
      </c>
      <c r="D75" s="4">
        <f t="shared" ca="1" si="41"/>
        <v>0</v>
      </c>
      <c r="E75" s="4">
        <f t="shared" ca="1" si="42"/>
        <v>0</v>
      </c>
      <c r="F75" s="4">
        <f t="shared" ca="1" si="43"/>
        <v>0</v>
      </c>
      <c r="G75" s="4">
        <f t="shared" si="44"/>
        <v>0</v>
      </c>
      <c r="H75" s="4">
        <f t="shared" ca="1" si="45"/>
        <v>0</v>
      </c>
      <c r="I75" s="4">
        <f t="shared" si="46"/>
        <v>0</v>
      </c>
      <c r="J75" s="4">
        <f t="shared" ca="1" si="47"/>
        <v>0</v>
      </c>
      <c r="K75" s="4">
        <f t="shared" si="48"/>
        <v>0</v>
      </c>
      <c r="L75" s="4" t="str">
        <f t="shared" si="49"/>
        <v/>
      </c>
      <c r="M75" s="4">
        <f t="shared" ca="1" si="50"/>
        <v>0</v>
      </c>
      <c r="N75" s="4">
        <f t="shared" ca="1" si="51"/>
        <v>0</v>
      </c>
      <c r="O75" s="4">
        <f t="shared" ca="1" si="52"/>
        <v>0</v>
      </c>
      <c r="P75" s="4" t="str">
        <f t="shared" si="37"/>
        <v/>
      </c>
      <c r="Q75" s="4" t="str">
        <f t="shared" si="38"/>
        <v/>
      </c>
    </row>
    <row r="76" spans="1:17" x14ac:dyDescent="0.2">
      <c r="A76">
        <f t="shared" si="53"/>
        <v>71</v>
      </c>
      <c r="B76" t="str">
        <f t="shared" si="39"/>
        <v/>
      </c>
      <c r="C76" s="3">
        <f t="shared" si="40"/>
        <v>0</v>
      </c>
      <c r="D76" s="4">
        <f t="shared" ca="1" si="41"/>
        <v>0</v>
      </c>
      <c r="E76" s="4">
        <f t="shared" ca="1" si="42"/>
        <v>0</v>
      </c>
      <c r="F76" s="4">
        <f t="shared" ca="1" si="43"/>
        <v>0</v>
      </c>
      <c r="G76" s="4">
        <f t="shared" si="44"/>
        <v>0</v>
      </c>
      <c r="H76" s="4">
        <f t="shared" ca="1" si="45"/>
        <v>0</v>
      </c>
      <c r="I76" s="4">
        <f t="shared" si="46"/>
        <v>0</v>
      </c>
      <c r="J76" s="4">
        <f t="shared" ca="1" si="47"/>
        <v>0</v>
      </c>
      <c r="K76" s="4">
        <f t="shared" si="48"/>
        <v>0</v>
      </c>
      <c r="L76" s="4" t="str">
        <f t="shared" si="49"/>
        <v/>
      </c>
      <c r="M76" s="4">
        <f t="shared" ca="1" si="50"/>
        <v>0</v>
      </c>
      <c r="N76" s="4">
        <f t="shared" ca="1" si="51"/>
        <v>0</v>
      </c>
      <c r="O76" s="4">
        <f t="shared" ca="1" si="52"/>
        <v>0</v>
      </c>
      <c r="P76" s="4" t="str">
        <f t="shared" si="37"/>
        <v/>
      </c>
      <c r="Q76" s="4" t="str">
        <f t="shared" si="38"/>
        <v/>
      </c>
    </row>
    <row r="77" spans="1:17" x14ac:dyDescent="0.2">
      <c r="A77">
        <f t="shared" si="53"/>
        <v>72</v>
      </c>
      <c r="B77" t="str">
        <f t="shared" si="39"/>
        <v/>
      </c>
      <c r="C77" s="3">
        <f t="shared" si="40"/>
        <v>0</v>
      </c>
      <c r="D77" s="4">
        <f t="shared" ca="1" si="41"/>
        <v>0</v>
      </c>
      <c r="E77" s="4">
        <f t="shared" ca="1" si="42"/>
        <v>0</v>
      </c>
      <c r="F77" s="4">
        <f t="shared" ca="1" si="43"/>
        <v>0</v>
      </c>
      <c r="G77" s="4">
        <f t="shared" si="44"/>
        <v>0</v>
      </c>
      <c r="H77" s="4">
        <f t="shared" ca="1" si="45"/>
        <v>0</v>
      </c>
      <c r="I77" s="4">
        <f t="shared" si="46"/>
        <v>0</v>
      </c>
      <c r="J77" s="4">
        <f t="shared" ca="1" si="47"/>
        <v>0</v>
      </c>
      <c r="K77" s="4">
        <f t="shared" si="48"/>
        <v>0</v>
      </c>
      <c r="L77" s="4" t="str">
        <f t="shared" si="49"/>
        <v/>
      </c>
      <c r="M77" s="4">
        <f t="shared" ca="1" si="50"/>
        <v>0</v>
      </c>
      <c r="N77" s="4">
        <f t="shared" ca="1" si="51"/>
        <v>0</v>
      </c>
      <c r="O77" s="4">
        <f t="shared" ca="1" si="52"/>
        <v>0</v>
      </c>
      <c r="P77" s="4" t="str">
        <f t="shared" si="37"/>
        <v/>
      </c>
      <c r="Q77" s="4" t="str">
        <f t="shared" si="38"/>
        <v/>
      </c>
    </row>
    <row r="78" spans="1:17" x14ac:dyDescent="0.2">
      <c r="A78">
        <f t="shared" si="53"/>
        <v>73</v>
      </c>
      <c r="B78" t="str">
        <f t="shared" si="39"/>
        <v/>
      </c>
      <c r="C78" s="3">
        <f t="shared" si="40"/>
        <v>0</v>
      </c>
      <c r="D78" s="4">
        <f t="shared" ca="1" si="41"/>
        <v>0</v>
      </c>
      <c r="E78" s="4">
        <f t="shared" ca="1" si="42"/>
        <v>0</v>
      </c>
      <c r="F78" s="4">
        <f t="shared" ca="1" si="43"/>
        <v>0</v>
      </c>
      <c r="G78" s="4">
        <f t="shared" si="44"/>
        <v>0</v>
      </c>
      <c r="H78" s="4">
        <f t="shared" ca="1" si="45"/>
        <v>0</v>
      </c>
      <c r="I78" s="4">
        <f t="shared" si="46"/>
        <v>0</v>
      </c>
      <c r="J78" s="4">
        <f t="shared" ca="1" si="47"/>
        <v>0</v>
      </c>
      <c r="K78" s="4">
        <f t="shared" si="48"/>
        <v>0</v>
      </c>
      <c r="L78" s="4" t="str">
        <f t="shared" si="49"/>
        <v/>
      </c>
      <c r="M78" s="4">
        <f t="shared" ca="1" si="50"/>
        <v>0</v>
      </c>
      <c r="N78" s="4">
        <f t="shared" ca="1" si="51"/>
        <v>0</v>
      </c>
      <c r="O78" s="4">
        <f t="shared" ca="1" si="52"/>
        <v>0</v>
      </c>
      <c r="P78" s="4" t="str">
        <f t="shared" si="37"/>
        <v/>
      </c>
      <c r="Q78" s="4" t="str">
        <f t="shared" si="38"/>
        <v/>
      </c>
    </row>
    <row r="79" spans="1:17" x14ac:dyDescent="0.2">
      <c r="A79">
        <f t="shared" si="53"/>
        <v>74</v>
      </c>
      <c r="B79" t="str">
        <f t="shared" si="39"/>
        <v/>
      </c>
      <c r="C79" s="3">
        <f t="shared" si="40"/>
        <v>0</v>
      </c>
      <c r="D79" s="4">
        <f t="shared" ca="1" si="41"/>
        <v>0</v>
      </c>
      <c r="E79" s="4">
        <f t="shared" ca="1" si="42"/>
        <v>0</v>
      </c>
      <c r="F79" s="4">
        <f t="shared" ca="1" si="43"/>
        <v>0</v>
      </c>
      <c r="G79" s="4">
        <f t="shared" si="44"/>
        <v>0</v>
      </c>
      <c r="H79" s="4">
        <f t="shared" ca="1" si="45"/>
        <v>0</v>
      </c>
      <c r="I79" s="4">
        <f t="shared" si="46"/>
        <v>0</v>
      </c>
      <c r="J79" s="4">
        <f t="shared" ca="1" si="47"/>
        <v>0</v>
      </c>
      <c r="K79" s="4">
        <f t="shared" si="48"/>
        <v>0</v>
      </c>
      <c r="L79" s="4" t="str">
        <f t="shared" si="49"/>
        <v/>
      </c>
      <c r="M79" s="4">
        <f t="shared" ca="1" si="50"/>
        <v>0</v>
      </c>
      <c r="N79" s="4">
        <f t="shared" ca="1" si="51"/>
        <v>0</v>
      </c>
      <c r="O79" s="4">
        <f t="shared" ca="1" si="52"/>
        <v>0</v>
      </c>
      <c r="P79" s="4" t="str">
        <f t="shared" si="37"/>
        <v/>
      </c>
      <c r="Q79" s="4" t="str">
        <f t="shared" si="38"/>
        <v/>
      </c>
    </row>
    <row r="80" spans="1:17" x14ac:dyDescent="0.2">
      <c r="A80">
        <f t="shared" si="53"/>
        <v>75</v>
      </c>
      <c r="B80" t="str">
        <f t="shared" si="39"/>
        <v/>
      </c>
      <c r="C80" s="3">
        <f t="shared" si="40"/>
        <v>0</v>
      </c>
      <c r="D80" s="4">
        <f t="shared" ca="1" si="41"/>
        <v>0</v>
      </c>
      <c r="E80" s="4">
        <f t="shared" ca="1" si="42"/>
        <v>0</v>
      </c>
      <c r="F80" s="4">
        <f t="shared" ca="1" si="43"/>
        <v>0</v>
      </c>
      <c r="G80" s="4">
        <f t="shared" si="44"/>
        <v>0</v>
      </c>
      <c r="H80" s="4">
        <f t="shared" ca="1" si="45"/>
        <v>0</v>
      </c>
      <c r="I80" s="4">
        <f t="shared" si="46"/>
        <v>0</v>
      </c>
      <c r="J80" s="4">
        <f t="shared" ca="1" si="47"/>
        <v>0</v>
      </c>
      <c r="K80" s="4">
        <f t="shared" si="48"/>
        <v>0</v>
      </c>
      <c r="L80" s="4" t="str">
        <f t="shared" si="49"/>
        <v/>
      </c>
      <c r="M80" s="4">
        <f t="shared" ca="1" si="50"/>
        <v>0</v>
      </c>
      <c r="N80" s="4">
        <f t="shared" ca="1" si="51"/>
        <v>0</v>
      </c>
      <c r="O80" s="4">
        <f t="shared" ca="1" si="52"/>
        <v>0</v>
      </c>
      <c r="P80" s="4" t="str">
        <f t="shared" si="37"/>
        <v/>
      </c>
      <c r="Q80" s="4" t="str">
        <f t="shared" si="38"/>
        <v/>
      </c>
    </row>
    <row r="81" spans="1:17" x14ac:dyDescent="0.2">
      <c r="A81">
        <f t="shared" si="53"/>
        <v>76</v>
      </c>
      <c r="B81" t="str">
        <f t="shared" si="39"/>
        <v/>
      </c>
      <c r="C81" s="3">
        <f t="shared" si="40"/>
        <v>0</v>
      </c>
      <c r="D81" s="4">
        <f t="shared" ca="1" si="41"/>
        <v>0</v>
      </c>
      <c r="E81" s="4">
        <f t="shared" ca="1" si="42"/>
        <v>0</v>
      </c>
      <c r="F81" s="4">
        <f t="shared" ca="1" si="43"/>
        <v>0</v>
      </c>
      <c r="G81" s="4">
        <f t="shared" si="44"/>
        <v>0</v>
      </c>
      <c r="H81" s="4">
        <f t="shared" ca="1" si="45"/>
        <v>0</v>
      </c>
      <c r="I81" s="4">
        <f t="shared" si="46"/>
        <v>0</v>
      </c>
      <c r="J81" s="4">
        <f t="shared" ca="1" si="47"/>
        <v>0</v>
      </c>
      <c r="K81" s="4">
        <f t="shared" si="48"/>
        <v>0</v>
      </c>
      <c r="L81" s="4" t="str">
        <f t="shared" si="49"/>
        <v/>
      </c>
      <c r="M81" s="4">
        <f t="shared" ca="1" si="50"/>
        <v>0</v>
      </c>
      <c r="N81" s="4">
        <f t="shared" ca="1" si="51"/>
        <v>0</v>
      </c>
      <c r="O81" s="4">
        <f t="shared" ca="1" si="52"/>
        <v>0</v>
      </c>
      <c r="P81" s="4" t="str">
        <f t="shared" si="37"/>
        <v/>
      </c>
      <c r="Q81" s="4" t="str">
        <f t="shared" si="38"/>
        <v/>
      </c>
    </row>
    <row r="82" spans="1:17" x14ac:dyDescent="0.2">
      <c r="A82">
        <f t="shared" si="53"/>
        <v>77</v>
      </c>
      <c r="B82" t="str">
        <f t="shared" si="39"/>
        <v/>
      </c>
      <c r="C82" s="3">
        <f t="shared" si="40"/>
        <v>0</v>
      </c>
      <c r="D82" s="4">
        <f t="shared" ca="1" si="41"/>
        <v>0</v>
      </c>
      <c r="E82" s="4">
        <f t="shared" ca="1" si="42"/>
        <v>0</v>
      </c>
      <c r="F82" s="4">
        <f t="shared" ca="1" si="43"/>
        <v>0</v>
      </c>
      <c r="G82" s="4">
        <f t="shared" si="44"/>
        <v>0</v>
      </c>
      <c r="H82" s="4">
        <f t="shared" ca="1" si="45"/>
        <v>0</v>
      </c>
      <c r="I82" s="4">
        <f t="shared" si="46"/>
        <v>0</v>
      </c>
      <c r="J82" s="4">
        <f t="shared" ca="1" si="47"/>
        <v>0</v>
      </c>
      <c r="K82" s="4">
        <f t="shared" si="48"/>
        <v>0</v>
      </c>
      <c r="L82" s="4" t="str">
        <f t="shared" si="49"/>
        <v/>
      </c>
      <c r="M82" s="4">
        <f t="shared" ca="1" si="50"/>
        <v>0</v>
      </c>
      <c r="N82" s="4">
        <f t="shared" ca="1" si="51"/>
        <v>0</v>
      </c>
      <c r="O82" s="4">
        <f t="shared" ca="1" si="52"/>
        <v>0</v>
      </c>
      <c r="P82" s="4" t="str">
        <f t="shared" si="37"/>
        <v/>
      </c>
      <c r="Q82" s="4" t="str">
        <f t="shared" si="38"/>
        <v/>
      </c>
    </row>
    <row r="83" spans="1:17" x14ac:dyDescent="0.2">
      <c r="A83">
        <f t="shared" si="53"/>
        <v>78</v>
      </c>
      <c r="B83" t="str">
        <f t="shared" si="39"/>
        <v/>
      </c>
      <c r="C83" s="3">
        <f t="shared" si="40"/>
        <v>0</v>
      </c>
      <c r="D83" s="4">
        <f t="shared" ca="1" si="41"/>
        <v>0</v>
      </c>
      <c r="E83" s="4">
        <f t="shared" ca="1" si="42"/>
        <v>0</v>
      </c>
      <c r="F83" s="4">
        <f t="shared" ca="1" si="43"/>
        <v>0</v>
      </c>
      <c r="G83" s="4">
        <f t="shared" si="44"/>
        <v>0</v>
      </c>
      <c r="H83" s="4">
        <f t="shared" ca="1" si="45"/>
        <v>0</v>
      </c>
      <c r="I83" s="4">
        <f t="shared" si="46"/>
        <v>0</v>
      </c>
      <c r="J83" s="4">
        <f t="shared" ca="1" si="47"/>
        <v>0</v>
      </c>
      <c r="K83" s="4">
        <f t="shared" si="48"/>
        <v>0</v>
      </c>
      <c r="L83" s="4" t="str">
        <f t="shared" si="49"/>
        <v/>
      </c>
      <c r="M83" s="4">
        <f t="shared" ca="1" si="50"/>
        <v>0</v>
      </c>
      <c r="N83" s="4">
        <f t="shared" ca="1" si="51"/>
        <v>0</v>
      </c>
      <c r="O83" s="4">
        <f t="shared" ca="1" si="52"/>
        <v>0</v>
      </c>
      <c r="P83" s="4" t="str">
        <f t="shared" si="37"/>
        <v/>
      </c>
      <c r="Q83" s="4" t="str">
        <f t="shared" si="38"/>
        <v/>
      </c>
    </row>
    <row r="84" spans="1:17" x14ac:dyDescent="0.2">
      <c r="A84">
        <f t="shared" si="53"/>
        <v>79</v>
      </c>
      <c r="B84" t="str">
        <f t="shared" si="39"/>
        <v/>
      </c>
      <c r="C84" s="3">
        <f t="shared" si="40"/>
        <v>0</v>
      </c>
      <c r="D84" s="4">
        <f t="shared" ca="1" si="41"/>
        <v>0</v>
      </c>
      <c r="E84" s="4">
        <f t="shared" ca="1" si="42"/>
        <v>0</v>
      </c>
      <c r="F84" s="4">
        <f t="shared" ca="1" si="43"/>
        <v>0</v>
      </c>
      <c r="G84" s="4">
        <f t="shared" si="44"/>
        <v>0</v>
      </c>
      <c r="H84" s="4">
        <f t="shared" ca="1" si="45"/>
        <v>0</v>
      </c>
      <c r="I84" s="4">
        <f t="shared" si="46"/>
        <v>0</v>
      </c>
      <c r="J84" s="4">
        <f t="shared" ca="1" si="47"/>
        <v>0</v>
      </c>
      <c r="K84" s="4">
        <f t="shared" si="48"/>
        <v>0</v>
      </c>
      <c r="L84" s="4" t="str">
        <f t="shared" si="49"/>
        <v/>
      </c>
      <c r="M84" s="4">
        <f t="shared" ca="1" si="50"/>
        <v>0</v>
      </c>
      <c r="N84" s="4">
        <f t="shared" ca="1" si="51"/>
        <v>0</v>
      </c>
      <c r="O84" s="4">
        <f t="shared" ca="1" si="52"/>
        <v>0</v>
      </c>
      <c r="P84" s="4" t="str">
        <f t="shared" si="37"/>
        <v/>
      </c>
      <c r="Q84" s="4" t="str">
        <f t="shared" si="38"/>
        <v/>
      </c>
    </row>
    <row r="85" spans="1:17" x14ac:dyDescent="0.2">
      <c r="A85">
        <f t="shared" si="53"/>
        <v>80</v>
      </c>
      <c r="B85" t="str">
        <f t="shared" si="39"/>
        <v/>
      </c>
      <c r="C85" s="3">
        <f t="shared" si="40"/>
        <v>0</v>
      </c>
      <c r="D85" s="4">
        <f t="shared" ca="1" si="41"/>
        <v>0</v>
      </c>
      <c r="E85" s="4">
        <f t="shared" ca="1" si="42"/>
        <v>0</v>
      </c>
      <c r="F85" s="4">
        <f t="shared" ca="1" si="43"/>
        <v>0</v>
      </c>
      <c r="G85" s="4">
        <f t="shared" si="44"/>
        <v>0</v>
      </c>
      <c r="H85" s="4">
        <f t="shared" ca="1" si="45"/>
        <v>0</v>
      </c>
      <c r="I85" s="4">
        <f t="shared" si="46"/>
        <v>0</v>
      </c>
      <c r="J85" s="4">
        <f t="shared" ca="1" si="47"/>
        <v>0</v>
      </c>
      <c r="K85" s="4">
        <f t="shared" si="48"/>
        <v>0</v>
      </c>
      <c r="L85" s="4" t="str">
        <f t="shared" si="49"/>
        <v/>
      </c>
      <c r="M85" s="4">
        <f t="shared" ca="1" si="50"/>
        <v>0</v>
      </c>
      <c r="N85" s="4">
        <f t="shared" ca="1" si="51"/>
        <v>0</v>
      </c>
      <c r="O85" s="4">
        <f t="shared" ca="1" si="52"/>
        <v>0</v>
      </c>
      <c r="P85" s="4" t="str">
        <f t="shared" si="37"/>
        <v/>
      </c>
      <c r="Q85" s="4" t="str">
        <f t="shared" si="38"/>
        <v/>
      </c>
    </row>
    <row r="86" spans="1:17" x14ac:dyDescent="0.2">
      <c r="A86">
        <f t="shared" si="53"/>
        <v>81</v>
      </c>
      <c r="B86" t="str">
        <f t="shared" si="39"/>
        <v/>
      </c>
      <c r="C86" s="3">
        <f t="shared" si="40"/>
        <v>0</v>
      </c>
      <c r="D86" s="4">
        <f t="shared" ca="1" si="41"/>
        <v>0</v>
      </c>
      <c r="E86" s="4">
        <f t="shared" ca="1" si="42"/>
        <v>0</v>
      </c>
      <c r="F86" s="4">
        <f t="shared" ca="1" si="43"/>
        <v>0</v>
      </c>
      <c r="G86" s="4">
        <f t="shared" si="44"/>
        <v>0</v>
      </c>
      <c r="H86" s="4">
        <f t="shared" ca="1" si="45"/>
        <v>0</v>
      </c>
      <c r="I86" s="4">
        <f t="shared" si="46"/>
        <v>0</v>
      </c>
      <c r="J86" s="4">
        <f t="shared" ca="1" si="47"/>
        <v>0</v>
      </c>
      <c r="K86" s="4">
        <f t="shared" si="48"/>
        <v>0</v>
      </c>
      <c r="L86" s="4" t="str">
        <f t="shared" si="49"/>
        <v/>
      </c>
      <c r="M86" s="4">
        <f t="shared" ca="1" si="50"/>
        <v>0</v>
      </c>
      <c r="N86" s="4">
        <f t="shared" ca="1" si="51"/>
        <v>0</v>
      </c>
      <c r="O86" s="4">
        <f t="shared" ca="1" si="52"/>
        <v>0</v>
      </c>
      <c r="P86" s="4" t="str">
        <f t="shared" si="37"/>
        <v/>
      </c>
      <c r="Q86" s="4" t="str">
        <f t="shared" si="38"/>
        <v/>
      </c>
    </row>
    <row r="87" spans="1:17" x14ac:dyDescent="0.2">
      <c r="A87">
        <f t="shared" si="53"/>
        <v>82</v>
      </c>
      <c r="B87" t="str">
        <f t="shared" si="39"/>
        <v/>
      </c>
      <c r="C87" s="3">
        <f t="shared" si="40"/>
        <v>0</v>
      </c>
      <c r="D87" s="4">
        <f t="shared" ca="1" si="41"/>
        <v>0</v>
      </c>
      <c r="E87" s="4">
        <f t="shared" ca="1" si="42"/>
        <v>0</v>
      </c>
      <c r="F87" s="4">
        <f t="shared" ca="1" si="43"/>
        <v>0</v>
      </c>
      <c r="G87" s="4">
        <f t="shared" si="44"/>
        <v>0</v>
      </c>
      <c r="H87" s="4">
        <f t="shared" ca="1" si="45"/>
        <v>0</v>
      </c>
      <c r="I87" s="4">
        <f t="shared" si="46"/>
        <v>0</v>
      </c>
      <c r="J87" s="4">
        <f t="shared" ca="1" si="47"/>
        <v>0</v>
      </c>
      <c r="K87" s="4">
        <f t="shared" si="48"/>
        <v>0</v>
      </c>
      <c r="L87" s="4" t="str">
        <f t="shared" si="49"/>
        <v/>
      </c>
      <c r="M87" s="4">
        <f t="shared" ca="1" si="50"/>
        <v>0</v>
      </c>
      <c r="N87" s="4">
        <f t="shared" ca="1" si="51"/>
        <v>0</v>
      </c>
      <c r="O87" s="4">
        <f t="shared" ca="1" si="52"/>
        <v>0</v>
      </c>
      <c r="P87" s="4" t="str">
        <f t="shared" si="37"/>
        <v/>
      </c>
      <c r="Q87" s="4" t="str">
        <f t="shared" si="38"/>
        <v/>
      </c>
    </row>
    <row r="88" spans="1:17" x14ac:dyDescent="0.2">
      <c r="A88">
        <f t="shared" si="53"/>
        <v>83</v>
      </c>
      <c r="B88" t="str">
        <f t="shared" si="39"/>
        <v/>
      </c>
      <c r="C88" s="3">
        <f t="shared" si="40"/>
        <v>0</v>
      </c>
      <c r="D88" s="4">
        <f t="shared" ca="1" si="41"/>
        <v>0</v>
      </c>
      <c r="E88" s="4">
        <f t="shared" ca="1" si="42"/>
        <v>0</v>
      </c>
      <c r="F88" s="4">
        <f t="shared" ca="1" si="43"/>
        <v>0</v>
      </c>
      <c r="G88" s="4">
        <f t="shared" si="44"/>
        <v>0</v>
      </c>
      <c r="H88" s="4">
        <f t="shared" ca="1" si="45"/>
        <v>0</v>
      </c>
      <c r="I88" s="4">
        <f t="shared" si="46"/>
        <v>0</v>
      </c>
      <c r="J88" s="4">
        <f t="shared" ca="1" si="47"/>
        <v>0</v>
      </c>
      <c r="K88" s="4">
        <f t="shared" si="48"/>
        <v>0</v>
      </c>
      <c r="L88" s="4" t="str">
        <f t="shared" si="49"/>
        <v/>
      </c>
      <c r="M88" s="4">
        <f t="shared" ca="1" si="50"/>
        <v>0</v>
      </c>
      <c r="N88" s="4">
        <f t="shared" ca="1" si="51"/>
        <v>0</v>
      </c>
      <c r="O88" s="4">
        <f t="shared" ca="1" si="52"/>
        <v>0</v>
      </c>
      <c r="P88" s="4" t="str">
        <f t="shared" si="37"/>
        <v/>
      </c>
      <c r="Q88" s="4" t="str">
        <f t="shared" si="38"/>
        <v/>
      </c>
    </row>
    <row r="89" spans="1:17" x14ac:dyDescent="0.2">
      <c r="A89">
        <f t="shared" si="53"/>
        <v>84</v>
      </c>
      <c r="B89" t="str">
        <f t="shared" si="39"/>
        <v/>
      </c>
      <c r="C89" s="3">
        <f t="shared" si="40"/>
        <v>0</v>
      </c>
      <c r="D89" s="4">
        <f t="shared" ca="1" si="41"/>
        <v>0</v>
      </c>
      <c r="E89" s="4">
        <f t="shared" ca="1" si="42"/>
        <v>0</v>
      </c>
      <c r="F89" s="4">
        <f t="shared" ca="1" si="43"/>
        <v>0</v>
      </c>
      <c r="G89" s="4">
        <f t="shared" si="44"/>
        <v>0</v>
      </c>
      <c r="H89" s="4">
        <f t="shared" ca="1" si="45"/>
        <v>0</v>
      </c>
      <c r="I89" s="4">
        <f t="shared" si="46"/>
        <v>0</v>
      </c>
      <c r="J89" s="4">
        <f t="shared" ca="1" si="47"/>
        <v>0</v>
      </c>
      <c r="K89" s="4">
        <f t="shared" si="48"/>
        <v>0</v>
      </c>
      <c r="L89" s="4" t="str">
        <f t="shared" si="49"/>
        <v/>
      </c>
      <c r="M89" s="4">
        <f t="shared" ca="1" si="50"/>
        <v>0</v>
      </c>
      <c r="N89" s="4">
        <f t="shared" ca="1" si="51"/>
        <v>0</v>
      </c>
      <c r="O89" s="4">
        <f t="shared" ca="1" si="52"/>
        <v>0</v>
      </c>
      <c r="P89" s="4" t="str">
        <f t="shared" si="37"/>
        <v/>
      </c>
      <c r="Q89" s="4" t="str">
        <f t="shared" si="38"/>
        <v/>
      </c>
    </row>
    <row r="90" spans="1:17" x14ac:dyDescent="0.2">
      <c r="A90">
        <f t="shared" si="53"/>
        <v>85</v>
      </c>
      <c r="B90" t="str">
        <f t="shared" si="39"/>
        <v/>
      </c>
      <c r="C90" s="3">
        <f t="shared" si="40"/>
        <v>0</v>
      </c>
      <c r="D90" s="4">
        <f t="shared" ca="1" si="41"/>
        <v>0</v>
      </c>
      <c r="E90" s="4">
        <f t="shared" ca="1" si="42"/>
        <v>0</v>
      </c>
      <c r="F90" s="4">
        <f t="shared" ca="1" si="43"/>
        <v>0</v>
      </c>
      <c r="G90" s="4">
        <f t="shared" si="44"/>
        <v>0</v>
      </c>
      <c r="H90" s="4">
        <f t="shared" ca="1" si="45"/>
        <v>0</v>
      </c>
      <c r="I90" s="4">
        <f t="shared" si="46"/>
        <v>0</v>
      </c>
      <c r="J90" s="4">
        <f t="shared" ca="1" si="47"/>
        <v>0</v>
      </c>
      <c r="K90" s="4">
        <f t="shared" si="48"/>
        <v>0</v>
      </c>
      <c r="L90" s="4" t="str">
        <f t="shared" si="49"/>
        <v/>
      </c>
      <c r="M90" s="4">
        <f t="shared" ca="1" si="50"/>
        <v>0</v>
      </c>
      <c r="N90" s="4">
        <f t="shared" ca="1" si="51"/>
        <v>0</v>
      </c>
      <c r="O90" s="4">
        <f t="shared" ca="1" si="52"/>
        <v>0</v>
      </c>
      <c r="P90" s="4" t="str">
        <f t="shared" si="37"/>
        <v/>
      </c>
      <c r="Q90" s="4" t="str">
        <f t="shared" si="38"/>
        <v/>
      </c>
    </row>
    <row r="91" spans="1:17" x14ac:dyDescent="0.2">
      <c r="A91">
        <f t="shared" si="53"/>
        <v>86</v>
      </c>
      <c r="B91" t="str">
        <f t="shared" si="39"/>
        <v/>
      </c>
      <c r="C91" s="3">
        <f t="shared" si="40"/>
        <v>0</v>
      </c>
      <c r="D91" s="4">
        <f t="shared" ca="1" si="41"/>
        <v>0</v>
      </c>
      <c r="E91" s="4">
        <f t="shared" ca="1" si="42"/>
        <v>0</v>
      </c>
      <c r="F91" s="4">
        <f t="shared" ca="1" si="43"/>
        <v>0</v>
      </c>
      <c r="G91" s="4">
        <f t="shared" si="44"/>
        <v>0</v>
      </c>
      <c r="H91" s="4">
        <f t="shared" ca="1" si="45"/>
        <v>0</v>
      </c>
      <c r="I91" s="4">
        <f t="shared" si="46"/>
        <v>0</v>
      </c>
      <c r="J91" s="4">
        <f t="shared" ca="1" si="47"/>
        <v>0</v>
      </c>
      <c r="K91" s="4">
        <f t="shared" si="48"/>
        <v>0</v>
      </c>
      <c r="L91" s="4" t="str">
        <f t="shared" si="49"/>
        <v/>
      </c>
      <c r="M91" s="4">
        <f t="shared" ca="1" si="50"/>
        <v>0</v>
      </c>
      <c r="N91" s="4">
        <f t="shared" ca="1" si="51"/>
        <v>0</v>
      </c>
      <c r="O91" s="4">
        <f t="shared" ca="1" si="52"/>
        <v>0</v>
      </c>
      <c r="P91" s="4" t="str">
        <f t="shared" si="37"/>
        <v/>
      </c>
      <c r="Q91" s="4" t="str">
        <f t="shared" si="38"/>
        <v/>
      </c>
    </row>
    <row r="92" spans="1:17" x14ac:dyDescent="0.2">
      <c r="A92">
        <f t="shared" si="53"/>
        <v>87</v>
      </c>
      <c r="B92" t="str">
        <f t="shared" si="39"/>
        <v/>
      </c>
      <c r="C92" s="3">
        <f t="shared" si="40"/>
        <v>0</v>
      </c>
      <c r="D92" s="4">
        <f t="shared" ca="1" si="41"/>
        <v>0</v>
      </c>
      <c r="E92" s="4">
        <f t="shared" ca="1" si="42"/>
        <v>0</v>
      </c>
      <c r="F92" s="4">
        <f t="shared" ca="1" si="43"/>
        <v>0</v>
      </c>
      <c r="G92" s="4">
        <f t="shared" si="44"/>
        <v>0</v>
      </c>
      <c r="H92" s="4">
        <f t="shared" ca="1" si="45"/>
        <v>0</v>
      </c>
      <c r="I92" s="4">
        <f t="shared" si="46"/>
        <v>0</v>
      </c>
      <c r="J92" s="4">
        <f t="shared" ca="1" si="47"/>
        <v>0</v>
      </c>
      <c r="K92" s="4">
        <f t="shared" si="48"/>
        <v>0</v>
      </c>
      <c r="L92" s="4" t="str">
        <f t="shared" si="49"/>
        <v/>
      </c>
      <c r="M92" s="4">
        <f t="shared" ca="1" si="50"/>
        <v>0</v>
      </c>
      <c r="N92" s="4">
        <f t="shared" ca="1" si="51"/>
        <v>0</v>
      </c>
      <c r="O92" s="4">
        <f t="shared" ca="1" si="52"/>
        <v>0</v>
      </c>
      <c r="P92" s="4" t="str">
        <f t="shared" si="37"/>
        <v/>
      </c>
      <c r="Q92" s="4" t="str">
        <f t="shared" si="38"/>
        <v/>
      </c>
    </row>
    <row r="93" spans="1:17" x14ac:dyDescent="0.2">
      <c r="A93">
        <f t="shared" si="53"/>
        <v>88</v>
      </c>
      <c r="B93" t="str">
        <f t="shared" si="39"/>
        <v/>
      </c>
      <c r="C93" s="3">
        <f t="shared" si="40"/>
        <v>0</v>
      </c>
      <c r="D93" s="4">
        <f t="shared" ca="1" si="41"/>
        <v>0</v>
      </c>
      <c r="E93" s="4">
        <f t="shared" ca="1" si="42"/>
        <v>0</v>
      </c>
      <c r="F93" s="4">
        <f t="shared" ca="1" si="43"/>
        <v>0</v>
      </c>
      <c r="G93" s="4">
        <f t="shared" si="44"/>
        <v>0</v>
      </c>
      <c r="H93" s="4">
        <f t="shared" ca="1" si="45"/>
        <v>0</v>
      </c>
      <c r="I93" s="4">
        <f t="shared" si="46"/>
        <v>0</v>
      </c>
      <c r="J93" s="4">
        <f t="shared" ca="1" si="47"/>
        <v>0</v>
      </c>
      <c r="K93" s="4">
        <f t="shared" si="48"/>
        <v>0</v>
      </c>
      <c r="L93" s="4" t="str">
        <f t="shared" si="49"/>
        <v/>
      </c>
      <c r="M93" s="4">
        <f t="shared" ca="1" si="50"/>
        <v>0</v>
      </c>
      <c r="N93" s="4">
        <f t="shared" ca="1" si="51"/>
        <v>0</v>
      </c>
      <c r="O93" s="4">
        <f t="shared" ca="1" si="52"/>
        <v>0</v>
      </c>
      <c r="P93" s="4" t="str">
        <f t="shared" si="37"/>
        <v/>
      </c>
      <c r="Q93" s="4" t="str">
        <f t="shared" si="38"/>
        <v/>
      </c>
    </row>
    <row r="94" spans="1:17" x14ac:dyDescent="0.2">
      <c r="A94">
        <f t="shared" si="53"/>
        <v>89</v>
      </c>
      <c r="B94" t="str">
        <f t="shared" si="39"/>
        <v/>
      </c>
      <c r="C94" s="3">
        <f t="shared" si="40"/>
        <v>0</v>
      </c>
      <c r="D94" s="4">
        <f t="shared" ca="1" si="41"/>
        <v>0</v>
      </c>
      <c r="E94" s="4">
        <f t="shared" ca="1" si="42"/>
        <v>0</v>
      </c>
      <c r="F94" s="4">
        <f t="shared" ca="1" si="43"/>
        <v>0</v>
      </c>
      <c r="G94" s="4">
        <f t="shared" si="44"/>
        <v>0</v>
      </c>
      <c r="H94" s="4">
        <f t="shared" ca="1" si="45"/>
        <v>0</v>
      </c>
      <c r="I94" s="4">
        <f t="shared" si="46"/>
        <v>0</v>
      </c>
      <c r="J94" s="4">
        <f t="shared" ca="1" si="47"/>
        <v>0</v>
      </c>
      <c r="K94" s="4">
        <f t="shared" si="48"/>
        <v>0</v>
      </c>
      <c r="L94" s="4" t="str">
        <f t="shared" si="49"/>
        <v/>
      </c>
      <c r="M94" s="4">
        <f t="shared" ca="1" si="50"/>
        <v>0</v>
      </c>
      <c r="N94" s="4">
        <f t="shared" ca="1" si="51"/>
        <v>0</v>
      </c>
      <c r="O94" s="4">
        <f t="shared" ca="1" si="52"/>
        <v>0</v>
      </c>
      <c r="P94" s="4" t="str">
        <f t="shared" si="37"/>
        <v/>
      </c>
      <c r="Q94" s="4" t="str">
        <f t="shared" si="38"/>
        <v/>
      </c>
    </row>
    <row r="95" spans="1:17" x14ac:dyDescent="0.2">
      <c r="A95">
        <f t="shared" si="53"/>
        <v>90</v>
      </c>
      <c r="B95" t="str">
        <f t="shared" si="39"/>
        <v/>
      </c>
      <c r="C95" s="3">
        <f t="shared" si="40"/>
        <v>0</v>
      </c>
      <c r="D95" s="4">
        <f t="shared" ca="1" si="41"/>
        <v>0</v>
      </c>
      <c r="E95" s="4">
        <f t="shared" ca="1" si="42"/>
        <v>0</v>
      </c>
      <c r="F95" s="4">
        <f t="shared" ca="1" si="43"/>
        <v>0</v>
      </c>
      <c r="G95" s="4">
        <f t="shared" si="44"/>
        <v>0</v>
      </c>
      <c r="H95" s="4">
        <f t="shared" ca="1" si="45"/>
        <v>0</v>
      </c>
      <c r="I95" s="4">
        <f t="shared" si="46"/>
        <v>0</v>
      </c>
      <c r="J95" s="4">
        <f t="shared" ca="1" si="47"/>
        <v>0</v>
      </c>
      <c r="K95" s="4">
        <f t="shared" si="48"/>
        <v>0</v>
      </c>
      <c r="L95" s="4" t="str">
        <f t="shared" si="49"/>
        <v/>
      </c>
      <c r="M95" s="4">
        <f t="shared" ca="1" si="50"/>
        <v>0</v>
      </c>
      <c r="N95" s="4">
        <f t="shared" ca="1" si="51"/>
        <v>0</v>
      </c>
      <c r="O95" s="4">
        <f t="shared" ca="1" si="52"/>
        <v>0</v>
      </c>
      <c r="P95" s="4" t="str">
        <f t="shared" si="37"/>
        <v/>
      </c>
      <c r="Q95" s="4" t="str">
        <f t="shared" si="38"/>
        <v/>
      </c>
    </row>
    <row r="96" spans="1:17" x14ac:dyDescent="0.2">
      <c r="A96">
        <f t="shared" si="53"/>
        <v>91</v>
      </c>
      <c r="B96" t="str">
        <f t="shared" si="39"/>
        <v/>
      </c>
      <c r="C96" s="3">
        <f t="shared" si="40"/>
        <v>0</v>
      </c>
      <c r="D96" s="4">
        <f t="shared" ca="1" si="41"/>
        <v>0</v>
      </c>
      <c r="E96" s="4">
        <f t="shared" ca="1" si="42"/>
        <v>0</v>
      </c>
      <c r="F96" s="4">
        <f t="shared" ca="1" si="43"/>
        <v>0</v>
      </c>
      <c r="G96" s="4">
        <f t="shared" si="44"/>
        <v>0</v>
      </c>
      <c r="H96" s="4">
        <f t="shared" ca="1" si="45"/>
        <v>0</v>
      </c>
      <c r="I96" s="4">
        <f t="shared" si="46"/>
        <v>0</v>
      </c>
      <c r="J96" s="4">
        <f t="shared" ca="1" si="47"/>
        <v>0</v>
      </c>
      <c r="K96" s="4">
        <f t="shared" si="48"/>
        <v>0</v>
      </c>
      <c r="L96" s="4" t="str">
        <f t="shared" si="49"/>
        <v/>
      </c>
      <c r="M96" s="4">
        <f t="shared" ca="1" si="50"/>
        <v>0</v>
      </c>
      <c r="N96" s="4">
        <f t="shared" ca="1" si="51"/>
        <v>0</v>
      </c>
      <c r="O96" s="4">
        <f t="shared" ca="1" si="52"/>
        <v>0</v>
      </c>
      <c r="P96" s="4" t="str">
        <f t="shared" si="37"/>
        <v/>
      </c>
      <c r="Q96" s="4" t="str">
        <f t="shared" si="38"/>
        <v/>
      </c>
    </row>
    <row r="97" spans="1:17" x14ac:dyDescent="0.2">
      <c r="A97">
        <f t="shared" si="53"/>
        <v>92</v>
      </c>
      <c r="B97" t="str">
        <f t="shared" si="39"/>
        <v/>
      </c>
      <c r="C97" s="3">
        <f t="shared" si="40"/>
        <v>0</v>
      </c>
      <c r="D97" s="4">
        <f t="shared" ca="1" si="41"/>
        <v>0</v>
      </c>
      <c r="E97" s="4">
        <f t="shared" ca="1" si="42"/>
        <v>0</v>
      </c>
      <c r="F97" s="4">
        <f t="shared" ca="1" si="43"/>
        <v>0</v>
      </c>
      <c r="G97" s="4">
        <f t="shared" si="44"/>
        <v>0</v>
      </c>
      <c r="H97" s="4">
        <f t="shared" ca="1" si="45"/>
        <v>0</v>
      </c>
      <c r="I97" s="4">
        <f t="shared" si="46"/>
        <v>0</v>
      </c>
      <c r="J97" s="4">
        <f t="shared" ca="1" si="47"/>
        <v>0</v>
      </c>
      <c r="K97" s="4">
        <f t="shared" si="48"/>
        <v>0</v>
      </c>
      <c r="L97" s="4" t="str">
        <f t="shared" si="49"/>
        <v/>
      </c>
      <c r="M97" s="4">
        <f t="shared" ca="1" si="50"/>
        <v>0</v>
      </c>
      <c r="N97" s="4">
        <f t="shared" ca="1" si="51"/>
        <v>0</v>
      </c>
      <c r="O97" s="4">
        <f t="shared" ca="1" si="52"/>
        <v>0</v>
      </c>
      <c r="P97" s="4" t="str">
        <f t="shared" si="37"/>
        <v/>
      </c>
      <c r="Q97" s="4" t="str">
        <f t="shared" si="38"/>
        <v/>
      </c>
    </row>
    <row r="98" spans="1:17" x14ac:dyDescent="0.2">
      <c r="A98">
        <f t="shared" si="53"/>
        <v>93</v>
      </c>
      <c r="B98" t="str">
        <f t="shared" si="39"/>
        <v/>
      </c>
      <c r="C98" s="3">
        <f t="shared" si="40"/>
        <v>0</v>
      </c>
      <c r="D98" s="4">
        <f t="shared" ca="1" si="41"/>
        <v>0</v>
      </c>
      <c r="E98" s="4">
        <f t="shared" ca="1" si="42"/>
        <v>0</v>
      </c>
      <c r="F98" s="4">
        <f t="shared" ca="1" si="43"/>
        <v>0</v>
      </c>
      <c r="G98" s="4">
        <f t="shared" si="44"/>
        <v>0</v>
      </c>
      <c r="H98" s="4">
        <f t="shared" ca="1" si="45"/>
        <v>0</v>
      </c>
      <c r="I98" s="4">
        <f t="shared" si="46"/>
        <v>0</v>
      </c>
      <c r="J98" s="4">
        <f t="shared" ca="1" si="47"/>
        <v>0</v>
      </c>
      <c r="K98" s="4">
        <f t="shared" si="48"/>
        <v>0</v>
      </c>
      <c r="L98" s="4" t="str">
        <f t="shared" si="49"/>
        <v/>
      </c>
      <c r="M98" s="4">
        <f t="shared" ca="1" si="50"/>
        <v>0</v>
      </c>
      <c r="N98" s="4">
        <f t="shared" ca="1" si="51"/>
        <v>0</v>
      </c>
      <c r="O98" s="4">
        <f t="shared" ca="1" si="52"/>
        <v>0</v>
      </c>
      <c r="P98" s="4" t="str">
        <f t="shared" si="37"/>
        <v/>
      </c>
      <c r="Q98" s="4" t="str">
        <f t="shared" si="38"/>
        <v/>
      </c>
    </row>
    <row r="99" spans="1:17" x14ac:dyDescent="0.2">
      <c r="A99">
        <f t="shared" si="53"/>
        <v>94</v>
      </c>
      <c r="B99" t="str">
        <f t="shared" si="39"/>
        <v/>
      </c>
      <c r="C99" s="3">
        <f t="shared" si="40"/>
        <v>0</v>
      </c>
      <c r="D99" s="4">
        <f t="shared" ca="1" si="41"/>
        <v>0</v>
      </c>
      <c r="E99" s="4">
        <f t="shared" ca="1" si="42"/>
        <v>0</v>
      </c>
      <c r="F99" s="4">
        <f t="shared" ca="1" si="43"/>
        <v>0</v>
      </c>
      <c r="G99" s="4">
        <f t="shared" si="44"/>
        <v>0</v>
      </c>
      <c r="H99" s="4">
        <f t="shared" ca="1" si="45"/>
        <v>0</v>
      </c>
      <c r="I99" s="4">
        <f t="shared" si="46"/>
        <v>0</v>
      </c>
      <c r="J99" s="4">
        <f t="shared" ca="1" si="47"/>
        <v>0</v>
      </c>
      <c r="K99" s="4">
        <f t="shared" si="48"/>
        <v>0</v>
      </c>
      <c r="L99" s="4" t="str">
        <f t="shared" si="49"/>
        <v/>
      </c>
      <c r="M99" s="4">
        <f t="shared" ca="1" si="50"/>
        <v>0</v>
      </c>
      <c r="N99" s="4">
        <f t="shared" ca="1" si="51"/>
        <v>0</v>
      </c>
      <c r="O99" s="4">
        <f t="shared" ca="1" si="52"/>
        <v>0</v>
      </c>
      <c r="P99" s="4" t="str">
        <f t="shared" si="37"/>
        <v/>
      </c>
      <c r="Q99" s="4" t="str">
        <f t="shared" si="38"/>
        <v/>
      </c>
    </row>
    <row r="100" spans="1:17" x14ac:dyDescent="0.2">
      <c r="A100">
        <f t="shared" si="53"/>
        <v>95</v>
      </c>
      <c r="B100" t="str">
        <f t="shared" si="39"/>
        <v/>
      </c>
      <c r="C100" s="3">
        <f t="shared" si="40"/>
        <v>0</v>
      </c>
      <c r="D100" s="4">
        <f t="shared" ca="1" si="41"/>
        <v>0</v>
      </c>
      <c r="E100" s="4">
        <f t="shared" ca="1" si="42"/>
        <v>0</v>
      </c>
      <c r="F100" s="4">
        <f t="shared" ca="1" si="43"/>
        <v>0</v>
      </c>
      <c r="G100" s="4">
        <f t="shared" si="44"/>
        <v>0</v>
      </c>
      <c r="H100" s="4">
        <f t="shared" ca="1" si="45"/>
        <v>0</v>
      </c>
      <c r="I100" s="4">
        <f t="shared" si="46"/>
        <v>0</v>
      </c>
      <c r="J100" s="4">
        <f t="shared" ca="1" si="47"/>
        <v>0</v>
      </c>
      <c r="K100" s="4">
        <f t="shared" si="48"/>
        <v>0</v>
      </c>
      <c r="L100" s="4" t="str">
        <f t="shared" si="49"/>
        <v/>
      </c>
      <c r="M100" s="4">
        <f t="shared" ca="1" si="50"/>
        <v>0</v>
      </c>
      <c r="N100" s="4">
        <f t="shared" ca="1" si="51"/>
        <v>0</v>
      </c>
      <c r="O100" s="4">
        <f t="shared" ca="1" si="52"/>
        <v>0</v>
      </c>
      <c r="P100" s="4" t="str">
        <f t="shared" si="37"/>
        <v/>
      </c>
      <c r="Q100" s="4" t="str">
        <f t="shared" si="38"/>
        <v/>
      </c>
    </row>
    <row r="101" spans="1:17" x14ac:dyDescent="0.2">
      <c r="A101">
        <f t="shared" si="53"/>
        <v>96</v>
      </c>
      <c r="B101" t="str">
        <f t="shared" si="39"/>
        <v/>
      </c>
      <c r="C101" s="3">
        <f t="shared" si="40"/>
        <v>0</v>
      </c>
      <c r="D101" s="4">
        <f t="shared" ca="1" si="41"/>
        <v>0</v>
      </c>
      <c r="E101" s="4">
        <f t="shared" ca="1" si="42"/>
        <v>0</v>
      </c>
      <c r="F101" s="4">
        <f t="shared" ca="1" si="43"/>
        <v>0</v>
      </c>
      <c r="G101" s="4">
        <f t="shared" si="44"/>
        <v>0</v>
      </c>
      <c r="H101" s="4">
        <f t="shared" ca="1" si="45"/>
        <v>0</v>
      </c>
      <c r="I101" s="4">
        <f t="shared" si="46"/>
        <v>0</v>
      </c>
      <c r="J101" s="4">
        <f t="shared" ca="1" si="47"/>
        <v>0</v>
      </c>
      <c r="K101" s="4">
        <f t="shared" si="48"/>
        <v>0</v>
      </c>
      <c r="L101" s="4" t="str">
        <f t="shared" si="49"/>
        <v/>
      </c>
      <c r="M101" s="4">
        <f t="shared" ca="1" si="50"/>
        <v>0</v>
      </c>
      <c r="N101" s="4">
        <f t="shared" ca="1" si="51"/>
        <v>0</v>
      </c>
      <c r="O101" s="4">
        <f t="shared" ca="1" si="52"/>
        <v>0</v>
      </c>
      <c r="P101" s="4" t="str">
        <f t="shared" si="37"/>
        <v/>
      </c>
      <c r="Q101" s="4" t="str">
        <f t="shared" si="38"/>
        <v/>
      </c>
    </row>
    <row r="102" spans="1:17" x14ac:dyDescent="0.2">
      <c r="A102">
        <f t="shared" si="53"/>
        <v>97</v>
      </c>
      <c r="B102" t="str">
        <f t="shared" ref="B102:B105" si="54">IF(A102&lt;=_Lebensdauer,A102,"")</f>
        <v/>
      </c>
      <c r="C102" s="3">
        <f t="shared" ref="C102:C105" si="55">IF(ISNUMBER(B102),$C$5-B102*_Degradation_pro_Jahr_Standard,0)</f>
        <v>0</v>
      </c>
      <c r="D102" s="4">
        <f t="shared" ref="D102:D105" ca="1" si="56">_Ertrag_t.Vb.*C102/100</f>
        <v>0</v>
      </c>
      <c r="E102" s="4">
        <f t="shared" ref="E102:E105" ca="1" si="57">D102*_ENG_Rechenwert_t.Vb./100</f>
        <v>0</v>
      </c>
      <c r="F102" s="4">
        <f t="shared" ref="F102:F105" ca="1" si="58">(D102-E102)*_Tarif_Rücklieferung/100</f>
        <v>0</v>
      </c>
      <c r="G102" s="4">
        <f t="shared" ref="G102:G105" si="59">IF(_MWSt_pflichtig,F102*_MWSt_Satz/100,0)</f>
        <v>0</v>
      </c>
      <c r="H102" s="4">
        <f t="shared" ca="1" si="45"/>
        <v>0</v>
      </c>
      <c r="I102" s="4">
        <f t="shared" si="46"/>
        <v>0</v>
      </c>
      <c r="J102" s="4">
        <f t="shared" ca="1" si="47"/>
        <v>0</v>
      </c>
      <c r="K102" s="4">
        <f t="shared" ref="K102:K105" si="60">IF(_MWSt_pflichtig,J102*_MWSt_Satz/100,0)</f>
        <v>0</v>
      </c>
      <c r="L102" s="4" t="str">
        <f t="shared" si="49"/>
        <v/>
      </c>
      <c r="M102" s="4">
        <f t="shared" ref="M102:M105" ca="1" si="61">SUM(F102:L102)</f>
        <v>0</v>
      </c>
      <c r="N102" s="4">
        <f t="shared" ref="N102:N105" ca="1" si="62">N101+M102</f>
        <v>0</v>
      </c>
      <c r="O102" s="4">
        <f t="shared" ref="O102:O105" ca="1" si="63">IF(AND(N101&lt;0,N102&gt;=0),B102,0)</f>
        <v>0</v>
      </c>
      <c r="P102" s="4" t="str">
        <f t="shared" si="37"/>
        <v/>
      </c>
      <c r="Q102" s="4" t="str">
        <f t="shared" si="38"/>
        <v/>
      </c>
    </row>
    <row r="103" spans="1:17" x14ac:dyDescent="0.2">
      <c r="A103">
        <f t="shared" si="53"/>
        <v>98</v>
      </c>
      <c r="B103" t="str">
        <f t="shared" si="54"/>
        <v/>
      </c>
      <c r="C103" s="3">
        <f t="shared" si="55"/>
        <v>0</v>
      </c>
      <c r="D103" s="4">
        <f t="shared" ca="1" si="56"/>
        <v>0</v>
      </c>
      <c r="E103" s="4">
        <f t="shared" ca="1" si="57"/>
        <v>0</v>
      </c>
      <c r="F103" s="4">
        <f t="shared" ca="1" si="58"/>
        <v>0</v>
      </c>
      <c r="G103" s="4">
        <f t="shared" si="59"/>
        <v>0</v>
      </c>
      <c r="H103" s="4">
        <f t="shared" ca="1" si="45"/>
        <v>0</v>
      </c>
      <c r="I103" s="4">
        <f t="shared" si="46"/>
        <v>0</v>
      </c>
      <c r="J103" s="4">
        <f t="shared" ca="1" si="47"/>
        <v>0</v>
      </c>
      <c r="K103" s="4">
        <f t="shared" si="60"/>
        <v>0</v>
      </c>
      <c r="L103" s="4" t="str">
        <f t="shared" si="49"/>
        <v/>
      </c>
      <c r="M103" s="4">
        <f t="shared" ca="1" si="61"/>
        <v>0</v>
      </c>
      <c r="N103" s="4">
        <f t="shared" ca="1" si="62"/>
        <v>0</v>
      </c>
      <c r="O103" s="4">
        <f t="shared" ca="1" si="63"/>
        <v>0</v>
      </c>
      <c r="P103" s="4" t="str">
        <f t="shared" si="37"/>
        <v/>
      </c>
      <c r="Q103" s="4" t="str">
        <f t="shared" si="38"/>
        <v/>
      </c>
    </row>
    <row r="104" spans="1:17" x14ac:dyDescent="0.2">
      <c r="A104">
        <f t="shared" si="53"/>
        <v>99</v>
      </c>
      <c r="B104" t="str">
        <f t="shared" si="54"/>
        <v/>
      </c>
      <c r="C104" s="3">
        <f t="shared" si="55"/>
        <v>0</v>
      </c>
      <c r="D104" s="4">
        <f t="shared" ca="1" si="56"/>
        <v>0</v>
      </c>
      <c r="E104" s="4">
        <f t="shared" ca="1" si="57"/>
        <v>0</v>
      </c>
      <c r="F104" s="4">
        <f t="shared" ca="1" si="58"/>
        <v>0</v>
      </c>
      <c r="G104" s="4">
        <f t="shared" si="59"/>
        <v>0</v>
      </c>
      <c r="H104" s="4">
        <f t="shared" ca="1" si="45"/>
        <v>0</v>
      </c>
      <c r="I104" s="4">
        <f t="shared" si="46"/>
        <v>0</v>
      </c>
      <c r="J104" s="4">
        <f t="shared" ca="1" si="47"/>
        <v>0</v>
      </c>
      <c r="K104" s="4">
        <f t="shared" si="60"/>
        <v>0</v>
      </c>
      <c r="L104" s="4" t="str">
        <f t="shared" si="49"/>
        <v/>
      </c>
      <c r="M104" s="4">
        <f t="shared" ca="1" si="61"/>
        <v>0</v>
      </c>
      <c r="N104" s="4">
        <f t="shared" ca="1" si="62"/>
        <v>0</v>
      </c>
      <c r="O104" s="4">
        <f t="shared" ca="1" si="63"/>
        <v>0</v>
      </c>
      <c r="P104" s="4" t="str">
        <f t="shared" si="37"/>
        <v/>
      </c>
      <c r="Q104" s="4" t="str">
        <f t="shared" si="38"/>
        <v/>
      </c>
    </row>
    <row r="105" spans="1:17" x14ac:dyDescent="0.2">
      <c r="A105">
        <f t="shared" si="53"/>
        <v>100</v>
      </c>
      <c r="B105" t="str">
        <f t="shared" si="54"/>
        <v/>
      </c>
      <c r="C105" s="3">
        <f t="shared" si="55"/>
        <v>0</v>
      </c>
      <c r="D105" s="4">
        <f t="shared" ca="1" si="56"/>
        <v>0</v>
      </c>
      <c r="E105" s="4">
        <f t="shared" ca="1" si="57"/>
        <v>0</v>
      </c>
      <c r="F105" s="4">
        <f t="shared" ca="1" si="58"/>
        <v>0</v>
      </c>
      <c r="G105" s="4">
        <f t="shared" si="59"/>
        <v>0</v>
      </c>
      <c r="H105" s="4">
        <f t="shared" ca="1" si="45"/>
        <v>0</v>
      </c>
      <c r="I105" s="4">
        <f t="shared" si="46"/>
        <v>0</v>
      </c>
      <c r="J105" s="4">
        <f t="shared" ca="1" si="47"/>
        <v>0</v>
      </c>
      <c r="K105" s="4">
        <f t="shared" si="60"/>
        <v>0</v>
      </c>
      <c r="L105" s="4" t="str">
        <f t="shared" si="49"/>
        <v/>
      </c>
      <c r="M105" s="4">
        <f t="shared" ca="1" si="61"/>
        <v>0</v>
      </c>
      <c r="N105" s="4">
        <f t="shared" ca="1" si="62"/>
        <v>0</v>
      </c>
      <c r="O105" s="4">
        <f t="shared" ca="1" si="63"/>
        <v>0</v>
      </c>
      <c r="P105" s="4" t="str">
        <f t="shared" si="37"/>
        <v/>
      </c>
      <c r="Q105" s="4" t="str">
        <f t="shared" si="38"/>
        <v/>
      </c>
    </row>
    <row r="123" spans="4:4" x14ac:dyDescent="0.2">
      <c r="D123" s="6"/>
    </row>
  </sheetData>
  <sheetProtection algorithmName="SHA-512" hashValue="qW60N2H2AApPV6OkGe4Alg2FU3FNl24ZXr55fMQyToXuCpuAkUQeEaP1YOcS7Ka59AYm8UK/2nC6USTVTRv/TA==" saltValue="jm2Wk8V3FjRopO7EqK2iGw==" spinCount="100000" sheet="1" objects="1" scenarios="1" autoFilter="0"/>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Q123"/>
  <sheetViews>
    <sheetView workbookViewId="0">
      <selection activeCell="B73" sqref="B73"/>
    </sheetView>
  </sheetViews>
  <sheetFormatPr baseColWidth="10" defaultRowHeight="12.75" x14ac:dyDescent="0.2"/>
  <cols>
    <col min="2" max="2" width="11.42578125" customWidth="1"/>
    <col min="3" max="3" width="12.42578125" customWidth="1"/>
    <col min="4" max="7" width="16.42578125" customWidth="1"/>
    <col min="8" max="8" width="19.140625" customWidth="1"/>
    <col min="9" max="12" width="15.85546875" customWidth="1"/>
    <col min="13" max="13" width="17.28515625" customWidth="1"/>
    <col min="14" max="14" width="14.85546875" customWidth="1"/>
    <col min="15" max="15" width="14.7109375" customWidth="1"/>
    <col min="16" max="16" width="13.7109375" customWidth="1"/>
    <col min="18" max="19" width="15.7109375" customWidth="1"/>
    <col min="22" max="22" width="41.42578125" customWidth="1"/>
  </cols>
  <sheetData>
    <row r="1" spans="1:17" ht="25.5" x14ac:dyDescent="0.35">
      <c r="A1" s="7" t="s">
        <v>93</v>
      </c>
      <c r="C1" s="2"/>
    </row>
    <row r="2" spans="1:17" x14ac:dyDescent="0.2">
      <c r="C2" s="2"/>
    </row>
    <row r="3" spans="1:17" s="8" customFormat="1" ht="90.75" thickBot="1" x14ac:dyDescent="0.25">
      <c r="A3" s="8" t="s">
        <v>1</v>
      </c>
      <c r="B3" s="8" t="s">
        <v>22</v>
      </c>
      <c r="C3" s="8" t="s">
        <v>6</v>
      </c>
      <c r="D3" s="8" t="s">
        <v>9</v>
      </c>
      <c r="E3" s="8" t="s">
        <v>11</v>
      </c>
      <c r="F3" s="8" t="s">
        <v>10</v>
      </c>
      <c r="G3" s="8" t="s">
        <v>369</v>
      </c>
      <c r="H3" s="8" t="s">
        <v>12</v>
      </c>
      <c r="I3" s="8" t="s">
        <v>88</v>
      </c>
      <c r="J3" s="8" t="s">
        <v>87</v>
      </c>
      <c r="K3" s="8" t="s">
        <v>371</v>
      </c>
      <c r="L3" s="8" t="s">
        <v>90</v>
      </c>
      <c r="M3" s="8" t="s">
        <v>13</v>
      </c>
      <c r="N3" s="8" t="s">
        <v>14</v>
      </c>
      <c r="O3" s="8" t="s">
        <v>16</v>
      </c>
      <c r="P3" s="8" t="s">
        <v>18</v>
      </c>
      <c r="Q3" s="8" t="s">
        <v>19</v>
      </c>
    </row>
    <row r="4" spans="1:17" s="9" customFormat="1" ht="29.25" customHeight="1" x14ac:dyDescent="0.25">
      <c r="A4" s="10" t="s">
        <v>15</v>
      </c>
      <c r="B4" s="10"/>
      <c r="C4" s="10"/>
      <c r="D4" s="11">
        <f t="shared" ref="D4:N4" ca="1" si="0">SUM(D6:D105)</f>
        <v>0</v>
      </c>
      <c r="E4" s="11">
        <f t="shared" ca="1" si="0"/>
        <v>0</v>
      </c>
      <c r="F4" s="11">
        <f t="shared" ca="1" si="0"/>
        <v>0</v>
      </c>
      <c r="G4" s="11"/>
      <c r="H4" s="11">
        <f t="shared" ca="1" si="0"/>
        <v>0</v>
      </c>
      <c r="I4" s="11">
        <f t="shared" ca="1" si="0"/>
        <v>0</v>
      </c>
      <c r="J4" s="11">
        <f t="shared" ca="1" si="0"/>
        <v>0</v>
      </c>
      <c r="K4" s="11"/>
      <c r="L4" s="11">
        <f t="shared" ca="1" si="0"/>
        <v>0</v>
      </c>
      <c r="M4" s="11">
        <f t="shared" ca="1" si="0"/>
        <v>0</v>
      </c>
      <c r="N4" s="11">
        <f t="shared" ca="1" si="0"/>
        <v>0</v>
      </c>
      <c r="O4" s="11">
        <f ca="1">SUM(O6:O101)</f>
        <v>0</v>
      </c>
      <c r="P4" s="11"/>
      <c r="Q4" s="11"/>
    </row>
    <row r="5" spans="1:17" x14ac:dyDescent="0.2">
      <c r="A5">
        <v>0</v>
      </c>
      <c r="B5">
        <f>A5</f>
        <v>0</v>
      </c>
      <c r="C5">
        <v>100</v>
      </c>
      <c r="N5" s="4">
        <f ca="1">-_Gesamtkosten_g.Min.</f>
        <v>0</v>
      </c>
      <c r="P5" s="5">
        <f t="shared" ref="P5:P35" ca="1" si="1">IF(ISNUMBER(B5),IF(N5&lt;0,N5,0),"")</f>
        <v>0</v>
      </c>
      <c r="Q5" s="5">
        <f t="shared" ref="Q5:Q35" ca="1" si="2">IF(ISNUMBER(B5),IF(N5&gt;0,N5,0),"")</f>
        <v>0</v>
      </c>
    </row>
    <row r="6" spans="1:17" x14ac:dyDescent="0.2">
      <c r="A6">
        <f>A5+1</f>
        <v>1</v>
      </c>
      <c r="B6">
        <f t="shared" ref="B6:B69" si="3">IF(A6&lt;=_Lebensdauer,A6,"")</f>
        <v>1</v>
      </c>
      <c r="C6" s="3">
        <f t="shared" ref="C6:C37" si="4">IF(ISNUMBER(B6),$C$5-B6*_Degradation_pro_Jahr_Standard,0)</f>
        <v>99.62833333333333</v>
      </c>
      <c r="D6" s="4">
        <f t="shared" ref="D6:D37" ca="1" si="5">_Ertrag_g.Min.*C6/100</f>
        <v>0</v>
      </c>
      <c r="E6" s="4" cm="1">
        <f t="array" aca="1" ref="E6" ca="1">D6*_ENG_Rechenwert_g.Min./100</f>
        <v>0</v>
      </c>
      <c r="F6" s="4">
        <f t="shared" ref="F6:F37" ca="1" si="6">(D6-E6)*_Tarif_Rücklieferung/100</f>
        <v>0</v>
      </c>
      <c r="G6" s="4">
        <f t="shared" ref="G6:G37" si="7">IF(_MWSt_pflichtig,F6*_MWSt_Satz/100,0)</f>
        <v>0</v>
      </c>
      <c r="H6" s="4">
        <f t="shared" ref="H6:H37" ca="1" si="8">E6*_Tarif_Bezug/100</f>
        <v>0</v>
      </c>
      <c r="I6" s="4">
        <f t="shared" ref="I6:I37" ca="1" si="9">IF(_EIV_t_auszahlung=B6,-_EIV_g.Min._Rechenwert,0)+IF(_EF_t=B6,-_EF_g.Min._Rechenwert,0)</f>
        <v>0</v>
      </c>
      <c r="J6" s="4">
        <f t="shared" ref="J6:J37" ca="1" si="10">-D6*_Tarif_Unterhalt_Rechenwert_g.Min./100</f>
        <v>0</v>
      </c>
      <c r="K6" s="4">
        <f t="shared" ref="K6:K37" si="11">IF(_MWSt_pflichtig,J6*_MWSt_Satz/100,0)</f>
        <v>0</v>
      </c>
      <c r="L6" s="4">
        <f t="shared" ref="L6:L37" ca="1" si="12">IF(B6&lt;=_Lebensdauer,PMT(_Kap_Verzinsung/100,_Lebensdauer,_Investitionskosten_g.Min.),"")</f>
        <v>0</v>
      </c>
      <c r="M6" s="4">
        <f ca="1">SUM(F6:L6)</f>
        <v>0</v>
      </c>
      <c r="N6" s="4">
        <f t="shared" ref="N6:N37" ca="1" si="13">N5+M6</f>
        <v>0</v>
      </c>
      <c r="O6" s="4">
        <f t="shared" ref="O6:O37" ca="1" si="14">IF(AND(N5&lt;0,N6&gt;=0),B6,0)</f>
        <v>0</v>
      </c>
      <c r="P6" s="4">
        <f t="shared" ca="1" si="1"/>
        <v>0</v>
      </c>
      <c r="Q6" s="4">
        <f t="shared" ca="1" si="2"/>
        <v>0</v>
      </c>
    </row>
    <row r="7" spans="1:17" x14ac:dyDescent="0.2">
      <c r="A7">
        <f t="shared" ref="A7:A70" si="15">A6+1</f>
        <v>2</v>
      </c>
      <c r="B7">
        <f t="shared" si="3"/>
        <v>2</v>
      </c>
      <c r="C7" s="3">
        <f t="shared" si="4"/>
        <v>99.256666666666661</v>
      </c>
      <c r="D7" s="4">
        <f t="shared" ca="1" si="5"/>
        <v>0</v>
      </c>
      <c r="E7" s="4" cm="1">
        <f t="array" aca="1" ref="E7" ca="1">D7*_ENG_Rechenwert_g.Min./100</f>
        <v>0</v>
      </c>
      <c r="F7" s="4">
        <f t="shared" ca="1" si="6"/>
        <v>0</v>
      </c>
      <c r="G7" s="4">
        <f t="shared" si="7"/>
        <v>0</v>
      </c>
      <c r="H7" s="4">
        <f t="shared" ca="1" si="8"/>
        <v>0</v>
      </c>
      <c r="I7" s="4">
        <f t="shared" si="9"/>
        <v>0</v>
      </c>
      <c r="J7" s="4">
        <f t="shared" ca="1" si="10"/>
        <v>0</v>
      </c>
      <c r="K7" s="4">
        <f t="shared" si="11"/>
        <v>0</v>
      </c>
      <c r="L7" s="4">
        <f t="shared" ca="1" si="12"/>
        <v>0</v>
      </c>
      <c r="M7" s="4">
        <f t="shared" ref="M7:M37" ca="1" si="16">SUM(F7:L7)</f>
        <v>0</v>
      </c>
      <c r="N7" s="4">
        <f t="shared" ca="1" si="13"/>
        <v>0</v>
      </c>
      <c r="O7" s="4">
        <f t="shared" ca="1" si="14"/>
        <v>0</v>
      </c>
      <c r="P7" s="4">
        <f t="shared" ca="1" si="1"/>
        <v>0</v>
      </c>
      <c r="Q7" s="4">
        <f t="shared" ca="1" si="2"/>
        <v>0</v>
      </c>
    </row>
    <row r="8" spans="1:17" x14ac:dyDescent="0.2">
      <c r="A8">
        <f t="shared" si="15"/>
        <v>3</v>
      </c>
      <c r="B8">
        <f t="shared" si="3"/>
        <v>3</v>
      </c>
      <c r="C8" s="3">
        <f t="shared" si="4"/>
        <v>98.885000000000005</v>
      </c>
      <c r="D8" s="4">
        <f t="shared" ca="1" si="5"/>
        <v>0</v>
      </c>
      <c r="E8" s="4" cm="1">
        <f t="array" aca="1" ref="E8" ca="1">D8*_ENG_Rechenwert_g.Min./100</f>
        <v>0</v>
      </c>
      <c r="F8" s="4">
        <f t="shared" ca="1" si="6"/>
        <v>0</v>
      </c>
      <c r="G8" s="4">
        <f t="shared" si="7"/>
        <v>0</v>
      </c>
      <c r="H8" s="4">
        <f t="shared" ca="1" si="8"/>
        <v>0</v>
      </c>
      <c r="I8" s="4">
        <f t="shared" si="9"/>
        <v>0</v>
      </c>
      <c r="J8" s="4">
        <f t="shared" ca="1" si="10"/>
        <v>0</v>
      </c>
      <c r="K8" s="4">
        <f t="shared" si="11"/>
        <v>0</v>
      </c>
      <c r="L8" s="4">
        <f t="shared" ca="1" si="12"/>
        <v>0</v>
      </c>
      <c r="M8" s="4">
        <f t="shared" ca="1" si="16"/>
        <v>0</v>
      </c>
      <c r="N8" s="4">
        <f t="shared" ca="1" si="13"/>
        <v>0</v>
      </c>
      <c r="O8" s="4">
        <f t="shared" ca="1" si="14"/>
        <v>0</v>
      </c>
      <c r="P8" s="4">
        <f t="shared" ca="1" si="1"/>
        <v>0</v>
      </c>
      <c r="Q8" s="4">
        <f t="shared" ca="1" si="2"/>
        <v>0</v>
      </c>
    </row>
    <row r="9" spans="1:17" x14ac:dyDescent="0.2">
      <c r="A9">
        <f t="shared" si="15"/>
        <v>4</v>
      </c>
      <c r="B9">
        <f t="shared" si="3"/>
        <v>4</v>
      </c>
      <c r="C9" s="3">
        <f t="shared" si="4"/>
        <v>98.513333333333335</v>
      </c>
      <c r="D9" s="4">
        <f t="shared" ca="1" si="5"/>
        <v>0</v>
      </c>
      <c r="E9" s="4" cm="1">
        <f t="array" aca="1" ref="E9" ca="1">D9*_ENG_Rechenwert_g.Min./100</f>
        <v>0</v>
      </c>
      <c r="F9" s="4">
        <f t="shared" ca="1" si="6"/>
        <v>0</v>
      </c>
      <c r="G9" s="4">
        <f t="shared" si="7"/>
        <v>0</v>
      </c>
      <c r="H9" s="4">
        <f t="shared" ca="1" si="8"/>
        <v>0</v>
      </c>
      <c r="I9" s="4">
        <f t="shared" si="9"/>
        <v>0</v>
      </c>
      <c r="J9" s="4">
        <f t="shared" ca="1" si="10"/>
        <v>0</v>
      </c>
      <c r="K9" s="4">
        <f t="shared" si="11"/>
        <v>0</v>
      </c>
      <c r="L9" s="4">
        <f t="shared" ca="1" si="12"/>
        <v>0</v>
      </c>
      <c r="M9" s="4">
        <f t="shared" ca="1" si="16"/>
        <v>0</v>
      </c>
      <c r="N9" s="4">
        <f t="shared" ca="1" si="13"/>
        <v>0</v>
      </c>
      <c r="O9" s="4">
        <f t="shared" ca="1" si="14"/>
        <v>0</v>
      </c>
      <c r="P9" s="4">
        <f t="shared" ca="1" si="1"/>
        <v>0</v>
      </c>
      <c r="Q9" s="4">
        <f t="shared" ca="1" si="2"/>
        <v>0</v>
      </c>
    </row>
    <row r="10" spans="1:17" x14ac:dyDescent="0.2">
      <c r="A10">
        <f t="shared" si="15"/>
        <v>5</v>
      </c>
      <c r="B10">
        <f t="shared" si="3"/>
        <v>5</v>
      </c>
      <c r="C10" s="3">
        <f t="shared" si="4"/>
        <v>98.141666666666666</v>
      </c>
      <c r="D10" s="4">
        <f t="shared" ca="1" si="5"/>
        <v>0</v>
      </c>
      <c r="E10" s="4" cm="1">
        <f t="array" aca="1" ref="E10" ca="1">D10*_ENG_Rechenwert_g.Min./100</f>
        <v>0</v>
      </c>
      <c r="F10" s="4">
        <f t="shared" ca="1" si="6"/>
        <v>0</v>
      </c>
      <c r="G10" s="4">
        <f t="shared" si="7"/>
        <v>0</v>
      </c>
      <c r="H10" s="4">
        <f t="shared" ca="1" si="8"/>
        <v>0</v>
      </c>
      <c r="I10" s="4">
        <f t="shared" si="9"/>
        <v>0</v>
      </c>
      <c r="J10" s="4">
        <f t="shared" ca="1" si="10"/>
        <v>0</v>
      </c>
      <c r="K10" s="4">
        <f t="shared" si="11"/>
        <v>0</v>
      </c>
      <c r="L10" s="4">
        <f t="shared" ca="1" si="12"/>
        <v>0</v>
      </c>
      <c r="M10" s="4">
        <f t="shared" ca="1" si="16"/>
        <v>0</v>
      </c>
      <c r="N10" s="4">
        <f t="shared" ca="1" si="13"/>
        <v>0</v>
      </c>
      <c r="O10" s="4">
        <f t="shared" ca="1" si="14"/>
        <v>0</v>
      </c>
      <c r="P10" s="4">
        <f t="shared" ca="1" si="1"/>
        <v>0</v>
      </c>
      <c r="Q10" s="4">
        <f t="shared" ca="1" si="2"/>
        <v>0</v>
      </c>
    </row>
    <row r="11" spans="1:17" x14ac:dyDescent="0.2">
      <c r="A11">
        <f t="shared" si="15"/>
        <v>6</v>
      </c>
      <c r="B11">
        <f t="shared" si="3"/>
        <v>6</v>
      </c>
      <c r="C11" s="3">
        <f t="shared" si="4"/>
        <v>97.77</v>
      </c>
      <c r="D11" s="4">
        <f t="shared" ca="1" si="5"/>
        <v>0</v>
      </c>
      <c r="E11" s="4" cm="1">
        <f t="array" aca="1" ref="E11" ca="1">D11*_ENG_Rechenwert_g.Min./100</f>
        <v>0</v>
      </c>
      <c r="F11" s="4">
        <f t="shared" ca="1" si="6"/>
        <v>0</v>
      </c>
      <c r="G11" s="4">
        <f t="shared" si="7"/>
        <v>0</v>
      </c>
      <c r="H11" s="4">
        <f t="shared" ca="1" si="8"/>
        <v>0</v>
      </c>
      <c r="I11" s="4">
        <f t="shared" si="9"/>
        <v>0</v>
      </c>
      <c r="J11" s="4">
        <f t="shared" ca="1" si="10"/>
        <v>0</v>
      </c>
      <c r="K11" s="4">
        <f t="shared" si="11"/>
        <v>0</v>
      </c>
      <c r="L11" s="4">
        <f t="shared" ca="1" si="12"/>
        <v>0</v>
      </c>
      <c r="M11" s="4">
        <f t="shared" ca="1" si="16"/>
        <v>0</v>
      </c>
      <c r="N11" s="4">
        <f t="shared" ca="1" si="13"/>
        <v>0</v>
      </c>
      <c r="O11" s="4">
        <f t="shared" ca="1" si="14"/>
        <v>0</v>
      </c>
      <c r="P11" s="4">
        <f t="shared" ca="1" si="1"/>
        <v>0</v>
      </c>
      <c r="Q11" s="4">
        <f t="shared" ca="1" si="2"/>
        <v>0</v>
      </c>
    </row>
    <row r="12" spans="1:17" x14ac:dyDescent="0.2">
      <c r="A12">
        <f t="shared" si="15"/>
        <v>7</v>
      </c>
      <c r="B12">
        <f t="shared" si="3"/>
        <v>7</v>
      </c>
      <c r="C12" s="3">
        <f t="shared" si="4"/>
        <v>97.398333333333326</v>
      </c>
      <c r="D12" s="4">
        <f t="shared" ca="1" si="5"/>
        <v>0</v>
      </c>
      <c r="E12" s="4" cm="1">
        <f t="array" aca="1" ref="E12" ca="1">D12*_ENG_Rechenwert_g.Min./100</f>
        <v>0</v>
      </c>
      <c r="F12" s="4">
        <f t="shared" ca="1" si="6"/>
        <v>0</v>
      </c>
      <c r="G12" s="4">
        <f t="shared" si="7"/>
        <v>0</v>
      </c>
      <c r="H12" s="4">
        <f t="shared" ca="1" si="8"/>
        <v>0</v>
      </c>
      <c r="I12" s="4">
        <f t="shared" si="9"/>
        <v>0</v>
      </c>
      <c r="J12" s="4">
        <f t="shared" ca="1" si="10"/>
        <v>0</v>
      </c>
      <c r="K12" s="4">
        <f t="shared" si="11"/>
        <v>0</v>
      </c>
      <c r="L12" s="4">
        <f t="shared" ca="1" si="12"/>
        <v>0</v>
      </c>
      <c r="M12" s="4">
        <f t="shared" ca="1" si="16"/>
        <v>0</v>
      </c>
      <c r="N12" s="4">
        <f t="shared" ca="1" si="13"/>
        <v>0</v>
      </c>
      <c r="O12" s="4">
        <f t="shared" ca="1" si="14"/>
        <v>0</v>
      </c>
      <c r="P12" s="4">
        <f t="shared" ca="1" si="1"/>
        <v>0</v>
      </c>
      <c r="Q12" s="4">
        <f t="shared" ca="1" si="2"/>
        <v>0</v>
      </c>
    </row>
    <row r="13" spans="1:17" x14ac:dyDescent="0.2">
      <c r="A13">
        <f t="shared" si="15"/>
        <v>8</v>
      </c>
      <c r="B13">
        <f t="shared" si="3"/>
        <v>8</v>
      </c>
      <c r="C13" s="3">
        <f t="shared" si="4"/>
        <v>97.026666666666671</v>
      </c>
      <c r="D13" s="4">
        <f t="shared" ca="1" si="5"/>
        <v>0</v>
      </c>
      <c r="E13" s="4" cm="1">
        <f t="array" aca="1" ref="E13" ca="1">D13*_ENG_Rechenwert_g.Min./100</f>
        <v>0</v>
      </c>
      <c r="F13" s="4">
        <f t="shared" ca="1" si="6"/>
        <v>0</v>
      </c>
      <c r="G13" s="4">
        <f t="shared" si="7"/>
        <v>0</v>
      </c>
      <c r="H13" s="4">
        <f t="shared" ca="1" si="8"/>
        <v>0</v>
      </c>
      <c r="I13" s="4">
        <f t="shared" si="9"/>
        <v>0</v>
      </c>
      <c r="J13" s="4">
        <f t="shared" ca="1" si="10"/>
        <v>0</v>
      </c>
      <c r="K13" s="4">
        <f t="shared" si="11"/>
        <v>0</v>
      </c>
      <c r="L13" s="4">
        <f t="shared" ca="1" si="12"/>
        <v>0</v>
      </c>
      <c r="M13" s="4">
        <f t="shared" ca="1" si="16"/>
        <v>0</v>
      </c>
      <c r="N13" s="4">
        <f t="shared" ca="1" si="13"/>
        <v>0</v>
      </c>
      <c r="O13" s="4">
        <f t="shared" ca="1" si="14"/>
        <v>0</v>
      </c>
      <c r="P13" s="4">
        <f t="shared" ca="1" si="1"/>
        <v>0</v>
      </c>
      <c r="Q13" s="4">
        <f t="shared" ca="1" si="2"/>
        <v>0</v>
      </c>
    </row>
    <row r="14" spans="1:17" x14ac:dyDescent="0.2">
      <c r="A14">
        <f t="shared" si="15"/>
        <v>9</v>
      </c>
      <c r="B14">
        <f t="shared" si="3"/>
        <v>9</v>
      </c>
      <c r="C14" s="3">
        <f t="shared" si="4"/>
        <v>96.655000000000001</v>
      </c>
      <c r="D14" s="4">
        <f t="shared" ca="1" si="5"/>
        <v>0</v>
      </c>
      <c r="E14" s="4" cm="1">
        <f t="array" aca="1" ref="E14" ca="1">D14*_ENG_Rechenwert_g.Min./100</f>
        <v>0</v>
      </c>
      <c r="F14" s="4">
        <f t="shared" ca="1" si="6"/>
        <v>0</v>
      </c>
      <c r="G14" s="4">
        <f t="shared" si="7"/>
        <v>0</v>
      </c>
      <c r="H14" s="4">
        <f t="shared" ca="1" si="8"/>
        <v>0</v>
      </c>
      <c r="I14" s="4">
        <f t="shared" si="9"/>
        <v>0</v>
      </c>
      <c r="J14" s="4">
        <f t="shared" ca="1" si="10"/>
        <v>0</v>
      </c>
      <c r="K14" s="4">
        <f t="shared" si="11"/>
        <v>0</v>
      </c>
      <c r="L14" s="4">
        <f t="shared" ca="1" si="12"/>
        <v>0</v>
      </c>
      <c r="M14" s="4">
        <f t="shared" ca="1" si="16"/>
        <v>0</v>
      </c>
      <c r="N14" s="4">
        <f t="shared" ca="1" si="13"/>
        <v>0</v>
      </c>
      <c r="O14" s="4">
        <f t="shared" ca="1" si="14"/>
        <v>0</v>
      </c>
      <c r="P14" s="4">
        <f t="shared" ca="1" si="1"/>
        <v>0</v>
      </c>
      <c r="Q14" s="4">
        <f t="shared" ca="1" si="2"/>
        <v>0</v>
      </c>
    </row>
    <row r="15" spans="1:17" x14ac:dyDescent="0.2">
      <c r="A15">
        <f t="shared" si="15"/>
        <v>10</v>
      </c>
      <c r="B15">
        <f t="shared" si="3"/>
        <v>10</v>
      </c>
      <c r="C15" s="3">
        <f t="shared" si="4"/>
        <v>96.283333333333331</v>
      </c>
      <c r="D15" s="4">
        <f t="shared" ca="1" si="5"/>
        <v>0</v>
      </c>
      <c r="E15" s="4" cm="1">
        <f t="array" aca="1" ref="E15" ca="1">D15*_ENG_Rechenwert_g.Min./100</f>
        <v>0</v>
      </c>
      <c r="F15" s="4">
        <f t="shared" ca="1" si="6"/>
        <v>0</v>
      </c>
      <c r="G15" s="4">
        <f t="shared" si="7"/>
        <v>0</v>
      </c>
      <c r="H15" s="4">
        <f t="shared" ca="1" si="8"/>
        <v>0</v>
      </c>
      <c r="I15" s="4">
        <f t="shared" si="9"/>
        <v>0</v>
      </c>
      <c r="J15" s="4">
        <f t="shared" ca="1" si="10"/>
        <v>0</v>
      </c>
      <c r="K15" s="4">
        <f t="shared" si="11"/>
        <v>0</v>
      </c>
      <c r="L15" s="4">
        <f t="shared" ca="1" si="12"/>
        <v>0</v>
      </c>
      <c r="M15" s="4">
        <f t="shared" ca="1" si="16"/>
        <v>0</v>
      </c>
      <c r="N15" s="4">
        <f t="shared" ca="1" si="13"/>
        <v>0</v>
      </c>
      <c r="O15" s="4">
        <f t="shared" ca="1" si="14"/>
        <v>0</v>
      </c>
      <c r="P15" s="4">
        <f t="shared" ca="1" si="1"/>
        <v>0</v>
      </c>
      <c r="Q15" s="4">
        <f t="shared" ca="1" si="2"/>
        <v>0</v>
      </c>
    </row>
    <row r="16" spans="1:17" x14ac:dyDescent="0.2">
      <c r="A16">
        <f t="shared" si="15"/>
        <v>11</v>
      </c>
      <c r="B16">
        <f t="shared" si="3"/>
        <v>11</v>
      </c>
      <c r="C16" s="3">
        <f t="shared" si="4"/>
        <v>95.911666666666662</v>
      </c>
      <c r="D16" s="4">
        <f t="shared" ca="1" si="5"/>
        <v>0</v>
      </c>
      <c r="E16" s="4" cm="1">
        <f t="array" aca="1" ref="E16" ca="1">D16*_ENG_Rechenwert_g.Min./100</f>
        <v>0</v>
      </c>
      <c r="F16" s="4">
        <f t="shared" ca="1" si="6"/>
        <v>0</v>
      </c>
      <c r="G16" s="4">
        <f t="shared" si="7"/>
        <v>0</v>
      </c>
      <c r="H16" s="4">
        <f t="shared" ca="1" si="8"/>
        <v>0</v>
      </c>
      <c r="I16" s="4">
        <f t="shared" si="9"/>
        <v>0</v>
      </c>
      <c r="J16" s="4">
        <f t="shared" ca="1" si="10"/>
        <v>0</v>
      </c>
      <c r="K16" s="4">
        <f t="shared" si="11"/>
        <v>0</v>
      </c>
      <c r="L16" s="4">
        <f t="shared" ca="1" si="12"/>
        <v>0</v>
      </c>
      <c r="M16" s="4">
        <f t="shared" ca="1" si="16"/>
        <v>0</v>
      </c>
      <c r="N16" s="4">
        <f t="shared" ca="1" si="13"/>
        <v>0</v>
      </c>
      <c r="O16" s="4">
        <f t="shared" ca="1" si="14"/>
        <v>0</v>
      </c>
      <c r="P16" s="4">
        <f t="shared" ca="1" si="1"/>
        <v>0</v>
      </c>
      <c r="Q16" s="4">
        <f t="shared" ca="1" si="2"/>
        <v>0</v>
      </c>
    </row>
    <row r="17" spans="1:17" x14ac:dyDescent="0.2">
      <c r="A17">
        <f t="shared" si="15"/>
        <v>12</v>
      </c>
      <c r="B17">
        <f t="shared" si="3"/>
        <v>12</v>
      </c>
      <c r="C17" s="3">
        <f t="shared" si="4"/>
        <v>95.539999999999992</v>
      </c>
      <c r="D17" s="4">
        <f t="shared" ca="1" si="5"/>
        <v>0</v>
      </c>
      <c r="E17" s="4" cm="1">
        <f t="array" aca="1" ref="E17" ca="1">D17*_ENG_Rechenwert_g.Min./100</f>
        <v>0</v>
      </c>
      <c r="F17" s="4">
        <f t="shared" ca="1" si="6"/>
        <v>0</v>
      </c>
      <c r="G17" s="4">
        <f t="shared" si="7"/>
        <v>0</v>
      </c>
      <c r="H17" s="4">
        <f t="shared" ca="1" si="8"/>
        <v>0</v>
      </c>
      <c r="I17" s="4">
        <f t="shared" si="9"/>
        <v>0</v>
      </c>
      <c r="J17" s="4">
        <f t="shared" ca="1" si="10"/>
        <v>0</v>
      </c>
      <c r="K17" s="4">
        <f t="shared" si="11"/>
        <v>0</v>
      </c>
      <c r="L17" s="4">
        <f t="shared" ca="1" si="12"/>
        <v>0</v>
      </c>
      <c r="M17" s="4">
        <f t="shared" ca="1" si="16"/>
        <v>0</v>
      </c>
      <c r="N17" s="4">
        <f t="shared" ca="1" si="13"/>
        <v>0</v>
      </c>
      <c r="O17" s="4">
        <f t="shared" ca="1" si="14"/>
        <v>0</v>
      </c>
      <c r="P17" s="4">
        <f t="shared" ca="1" si="1"/>
        <v>0</v>
      </c>
      <c r="Q17" s="4">
        <f t="shared" ca="1" si="2"/>
        <v>0</v>
      </c>
    </row>
    <row r="18" spans="1:17" x14ac:dyDescent="0.2">
      <c r="A18">
        <f t="shared" si="15"/>
        <v>13</v>
      </c>
      <c r="B18">
        <f t="shared" si="3"/>
        <v>13</v>
      </c>
      <c r="C18" s="3">
        <f t="shared" si="4"/>
        <v>95.168333333333337</v>
      </c>
      <c r="D18" s="4">
        <f t="shared" ca="1" si="5"/>
        <v>0</v>
      </c>
      <c r="E18" s="4" cm="1">
        <f t="array" aca="1" ref="E18" ca="1">D18*_ENG_Rechenwert_g.Min./100</f>
        <v>0</v>
      </c>
      <c r="F18" s="4">
        <f t="shared" ca="1" si="6"/>
        <v>0</v>
      </c>
      <c r="G18" s="4">
        <f t="shared" si="7"/>
        <v>0</v>
      </c>
      <c r="H18" s="4">
        <f t="shared" ca="1" si="8"/>
        <v>0</v>
      </c>
      <c r="I18" s="4">
        <f t="shared" si="9"/>
        <v>0</v>
      </c>
      <c r="J18" s="4">
        <f t="shared" ca="1" si="10"/>
        <v>0</v>
      </c>
      <c r="K18" s="4">
        <f t="shared" si="11"/>
        <v>0</v>
      </c>
      <c r="L18" s="4">
        <f t="shared" ca="1" si="12"/>
        <v>0</v>
      </c>
      <c r="M18" s="4">
        <f t="shared" ca="1" si="16"/>
        <v>0</v>
      </c>
      <c r="N18" s="4">
        <f t="shared" ca="1" si="13"/>
        <v>0</v>
      </c>
      <c r="O18" s="4">
        <f t="shared" ca="1" si="14"/>
        <v>0</v>
      </c>
      <c r="P18" s="4">
        <f t="shared" ca="1" si="1"/>
        <v>0</v>
      </c>
      <c r="Q18" s="4">
        <f t="shared" ca="1" si="2"/>
        <v>0</v>
      </c>
    </row>
    <row r="19" spans="1:17" x14ac:dyDescent="0.2">
      <c r="A19">
        <f t="shared" si="15"/>
        <v>14</v>
      </c>
      <c r="B19">
        <f t="shared" si="3"/>
        <v>14</v>
      </c>
      <c r="C19" s="3">
        <f t="shared" si="4"/>
        <v>94.796666666666667</v>
      </c>
      <c r="D19" s="4">
        <f t="shared" ca="1" si="5"/>
        <v>0</v>
      </c>
      <c r="E19" s="4" cm="1">
        <f t="array" aca="1" ref="E19" ca="1">D19*_ENG_Rechenwert_g.Min./100</f>
        <v>0</v>
      </c>
      <c r="F19" s="4">
        <f t="shared" ca="1" si="6"/>
        <v>0</v>
      </c>
      <c r="G19" s="4">
        <f t="shared" si="7"/>
        <v>0</v>
      </c>
      <c r="H19" s="4">
        <f t="shared" ca="1" si="8"/>
        <v>0</v>
      </c>
      <c r="I19" s="4">
        <f t="shared" si="9"/>
        <v>0</v>
      </c>
      <c r="J19" s="4">
        <f t="shared" ca="1" si="10"/>
        <v>0</v>
      </c>
      <c r="K19" s="4">
        <f t="shared" si="11"/>
        <v>0</v>
      </c>
      <c r="L19" s="4">
        <f t="shared" ca="1" si="12"/>
        <v>0</v>
      </c>
      <c r="M19" s="4">
        <f t="shared" ca="1" si="16"/>
        <v>0</v>
      </c>
      <c r="N19" s="4">
        <f t="shared" ca="1" si="13"/>
        <v>0</v>
      </c>
      <c r="O19" s="4">
        <f t="shared" ca="1" si="14"/>
        <v>0</v>
      </c>
      <c r="P19" s="4">
        <f t="shared" ca="1" si="1"/>
        <v>0</v>
      </c>
      <c r="Q19" s="4">
        <f t="shared" ca="1" si="2"/>
        <v>0</v>
      </c>
    </row>
    <row r="20" spans="1:17" x14ac:dyDescent="0.2">
      <c r="A20">
        <f t="shared" si="15"/>
        <v>15</v>
      </c>
      <c r="B20">
        <f t="shared" si="3"/>
        <v>15</v>
      </c>
      <c r="C20" s="3">
        <f t="shared" si="4"/>
        <v>94.424999999999997</v>
      </c>
      <c r="D20" s="4">
        <f t="shared" ca="1" si="5"/>
        <v>0</v>
      </c>
      <c r="E20" s="4" cm="1">
        <f t="array" aca="1" ref="E20" ca="1">D20*_ENG_Rechenwert_g.Min./100</f>
        <v>0</v>
      </c>
      <c r="F20" s="4">
        <f t="shared" ca="1" si="6"/>
        <v>0</v>
      </c>
      <c r="G20" s="4">
        <f t="shared" si="7"/>
        <v>0</v>
      </c>
      <c r="H20" s="4">
        <f t="shared" ca="1" si="8"/>
        <v>0</v>
      </c>
      <c r="I20" s="4">
        <f t="shared" si="9"/>
        <v>0</v>
      </c>
      <c r="J20" s="4">
        <f t="shared" ca="1" si="10"/>
        <v>0</v>
      </c>
      <c r="K20" s="4">
        <f t="shared" si="11"/>
        <v>0</v>
      </c>
      <c r="L20" s="4">
        <f t="shared" ca="1" si="12"/>
        <v>0</v>
      </c>
      <c r="M20" s="4">
        <f t="shared" ca="1" si="16"/>
        <v>0</v>
      </c>
      <c r="N20" s="4">
        <f t="shared" ca="1" si="13"/>
        <v>0</v>
      </c>
      <c r="O20" s="4">
        <f t="shared" ca="1" si="14"/>
        <v>0</v>
      </c>
      <c r="P20" s="4">
        <f t="shared" ca="1" si="1"/>
        <v>0</v>
      </c>
      <c r="Q20" s="4">
        <f t="shared" ca="1" si="2"/>
        <v>0</v>
      </c>
    </row>
    <row r="21" spans="1:17" x14ac:dyDescent="0.2">
      <c r="A21">
        <f t="shared" si="15"/>
        <v>16</v>
      </c>
      <c r="B21">
        <f t="shared" si="3"/>
        <v>16</v>
      </c>
      <c r="C21" s="3">
        <f t="shared" si="4"/>
        <v>94.053333333333327</v>
      </c>
      <c r="D21" s="4">
        <f t="shared" ca="1" si="5"/>
        <v>0</v>
      </c>
      <c r="E21" s="4" cm="1">
        <f t="array" aca="1" ref="E21" ca="1">D21*_ENG_Rechenwert_g.Min./100</f>
        <v>0</v>
      </c>
      <c r="F21" s="4">
        <f t="shared" ca="1" si="6"/>
        <v>0</v>
      </c>
      <c r="G21" s="4">
        <f t="shared" si="7"/>
        <v>0</v>
      </c>
      <c r="H21" s="4">
        <f t="shared" ca="1" si="8"/>
        <v>0</v>
      </c>
      <c r="I21" s="4">
        <f t="shared" si="9"/>
        <v>0</v>
      </c>
      <c r="J21" s="4">
        <f t="shared" ca="1" si="10"/>
        <v>0</v>
      </c>
      <c r="K21" s="4">
        <f t="shared" si="11"/>
        <v>0</v>
      </c>
      <c r="L21" s="4">
        <f t="shared" ca="1" si="12"/>
        <v>0</v>
      </c>
      <c r="M21" s="4">
        <f t="shared" ca="1" si="16"/>
        <v>0</v>
      </c>
      <c r="N21" s="4">
        <f t="shared" ca="1" si="13"/>
        <v>0</v>
      </c>
      <c r="O21" s="4">
        <f t="shared" ca="1" si="14"/>
        <v>0</v>
      </c>
      <c r="P21" s="4">
        <f t="shared" ca="1" si="1"/>
        <v>0</v>
      </c>
      <c r="Q21" s="4">
        <f t="shared" ca="1" si="2"/>
        <v>0</v>
      </c>
    </row>
    <row r="22" spans="1:17" x14ac:dyDescent="0.2">
      <c r="A22">
        <f t="shared" si="15"/>
        <v>17</v>
      </c>
      <c r="B22">
        <f t="shared" si="3"/>
        <v>17</v>
      </c>
      <c r="C22" s="3">
        <f t="shared" si="4"/>
        <v>93.681666666666658</v>
      </c>
      <c r="D22" s="4">
        <f t="shared" ca="1" si="5"/>
        <v>0</v>
      </c>
      <c r="E22" s="4" cm="1">
        <f t="array" aca="1" ref="E22" ca="1">D22*_ENG_Rechenwert_g.Min./100</f>
        <v>0</v>
      </c>
      <c r="F22" s="4">
        <f t="shared" ca="1" si="6"/>
        <v>0</v>
      </c>
      <c r="G22" s="4">
        <f t="shared" si="7"/>
        <v>0</v>
      </c>
      <c r="H22" s="4">
        <f t="shared" ca="1" si="8"/>
        <v>0</v>
      </c>
      <c r="I22" s="4">
        <f t="shared" si="9"/>
        <v>0</v>
      </c>
      <c r="J22" s="4">
        <f t="shared" ca="1" si="10"/>
        <v>0</v>
      </c>
      <c r="K22" s="4">
        <f t="shared" si="11"/>
        <v>0</v>
      </c>
      <c r="L22" s="4">
        <f t="shared" ca="1" si="12"/>
        <v>0</v>
      </c>
      <c r="M22" s="4">
        <f t="shared" ca="1" si="16"/>
        <v>0</v>
      </c>
      <c r="N22" s="4">
        <f t="shared" ca="1" si="13"/>
        <v>0</v>
      </c>
      <c r="O22" s="4">
        <f t="shared" ca="1" si="14"/>
        <v>0</v>
      </c>
      <c r="P22" s="4">
        <f t="shared" ca="1" si="1"/>
        <v>0</v>
      </c>
      <c r="Q22" s="4">
        <f t="shared" ca="1" si="2"/>
        <v>0</v>
      </c>
    </row>
    <row r="23" spans="1:17" x14ac:dyDescent="0.2">
      <c r="A23">
        <f t="shared" si="15"/>
        <v>18</v>
      </c>
      <c r="B23">
        <f t="shared" si="3"/>
        <v>18</v>
      </c>
      <c r="C23" s="3">
        <f t="shared" si="4"/>
        <v>93.31</v>
      </c>
      <c r="D23" s="4">
        <f t="shared" ca="1" si="5"/>
        <v>0</v>
      </c>
      <c r="E23" s="4" cm="1">
        <f t="array" aca="1" ref="E23" ca="1">D23*_ENG_Rechenwert_g.Min./100</f>
        <v>0</v>
      </c>
      <c r="F23" s="4">
        <f t="shared" ca="1" si="6"/>
        <v>0</v>
      </c>
      <c r="G23" s="4">
        <f t="shared" si="7"/>
        <v>0</v>
      </c>
      <c r="H23" s="4">
        <f t="shared" ca="1" si="8"/>
        <v>0</v>
      </c>
      <c r="I23" s="4">
        <f t="shared" si="9"/>
        <v>0</v>
      </c>
      <c r="J23" s="4">
        <f t="shared" ca="1" si="10"/>
        <v>0</v>
      </c>
      <c r="K23" s="4">
        <f t="shared" si="11"/>
        <v>0</v>
      </c>
      <c r="L23" s="4">
        <f t="shared" ca="1" si="12"/>
        <v>0</v>
      </c>
      <c r="M23" s="4">
        <f t="shared" ca="1" si="16"/>
        <v>0</v>
      </c>
      <c r="N23" s="4">
        <f t="shared" ca="1" si="13"/>
        <v>0</v>
      </c>
      <c r="O23" s="4">
        <f t="shared" ca="1" si="14"/>
        <v>0</v>
      </c>
      <c r="P23" s="4">
        <f t="shared" ca="1" si="1"/>
        <v>0</v>
      </c>
      <c r="Q23" s="4">
        <f t="shared" ca="1" si="2"/>
        <v>0</v>
      </c>
    </row>
    <row r="24" spans="1:17" x14ac:dyDescent="0.2">
      <c r="A24">
        <f t="shared" si="15"/>
        <v>19</v>
      </c>
      <c r="B24">
        <f t="shared" si="3"/>
        <v>19</v>
      </c>
      <c r="C24" s="3">
        <f t="shared" si="4"/>
        <v>92.938333333333333</v>
      </c>
      <c r="D24" s="4">
        <f t="shared" ca="1" si="5"/>
        <v>0</v>
      </c>
      <c r="E24" s="4" cm="1">
        <f t="array" aca="1" ref="E24" ca="1">D24*_ENG_Rechenwert_g.Min./100</f>
        <v>0</v>
      </c>
      <c r="F24" s="4">
        <f t="shared" ca="1" si="6"/>
        <v>0</v>
      </c>
      <c r="G24" s="4">
        <f t="shared" si="7"/>
        <v>0</v>
      </c>
      <c r="H24" s="4">
        <f t="shared" ca="1" si="8"/>
        <v>0</v>
      </c>
      <c r="I24" s="4">
        <f t="shared" si="9"/>
        <v>0</v>
      </c>
      <c r="J24" s="4">
        <f t="shared" ca="1" si="10"/>
        <v>0</v>
      </c>
      <c r="K24" s="4">
        <f t="shared" si="11"/>
        <v>0</v>
      </c>
      <c r="L24" s="4">
        <f t="shared" ca="1" si="12"/>
        <v>0</v>
      </c>
      <c r="M24" s="4">
        <f t="shared" ca="1" si="16"/>
        <v>0</v>
      </c>
      <c r="N24" s="4">
        <f t="shared" ca="1" si="13"/>
        <v>0</v>
      </c>
      <c r="O24" s="4">
        <f t="shared" ca="1" si="14"/>
        <v>0</v>
      </c>
      <c r="P24" s="4">
        <f t="shared" ca="1" si="1"/>
        <v>0</v>
      </c>
      <c r="Q24" s="4">
        <f t="shared" ca="1" si="2"/>
        <v>0</v>
      </c>
    </row>
    <row r="25" spans="1:17" x14ac:dyDescent="0.2">
      <c r="A25">
        <f t="shared" si="15"/>
        <v>20</v>
      </c>
      <c r="B25">
        <f t="shared" si="3"/>
        <v>20</v>
      </c>
      <c r="C25" s="3">
        <f t="shared" si="4"/>
        <v>92.566666666666663</v>
      </c>
      <c r="D25" s="4">
        <f t="shared" ca="1" si="5"/>
        <v>0</v>
      </c>
      <c r="E25" s="4" cm="1">
        <f t="array" aca="1" ref="E25" ca="1">D25*_ENG_Rechenwert_g.Min./100</f>
        <v>0</v>
      </c>
      <c r="F25" s="4">
        <f t="shared" ca="1" si="6"/>
        <v>0</v>
      </c>
      <c r="G25" s="4">
        <f t="shared" si="7"/>
        <v>0</v>
      </c>
      <c r="H25" s="4">
        <f t="shared" ca="1" si="8"/>
        <v>0</v>
      </c>
      <c r="I25" s="4">
        <f t="shared" si="9"/>
        <v>0</v>
      </c>
      <c r="J25" s="4">
        <f t="shared" ca="1" si="10"/>
        <v>0</v>
      </c>
      <c r="K25" s="4">
        <f t="shared" si="11"/>
        <v>0</v>
      </c>
      <c r="L25" s="4">
        <f t="shared" ca="1" si="12"/>
        <v>0</v>
      </c>
      <c r="M25" s="4">
        <f t="shared" ca="1" si="16"/>
        <v>0</v>
      </c>
      <c r="N25" s="4">
        <f t="shared" ca="1" si="13"/>
        <v>0</v>
      </c>
      <c r="O25" s="4">
        <f t="shared" ca="1" si="14"/>
        <v>0</v>
      </c>
      <c r="P25" s="4">
        <f t="shared" ca="1" si="1"/>
        <v>0</v>
      </c>
      <c r="Q25" s="4">
        <f t="shared" ca="1" si="2"/>
        <v>0</v>
      </c>
    </row>
    <row r="26" spans="1:17" x14ac:dyDescent="0.2">
      <c r="A26">
        <f t="shared" si="15"/>
        <v>21</v>
      </c>
      <c r="B26">
        <f t="shared" si="3"/>
        <v>21</v>
      </c>
      <c r="C26" s="3">
        <f t="shared" si="4"/>
        <v>92.194999999999993</v>
      </c>
      <c r="D26" s="4">
        <f t="shared" ca="1" si="5"/>
        <v>0</v>
      </c>
      <c r="E26" s="4" cm="1">
        <f t="array" aca="1" ref="E26" ca="1">D26*_ENG_Rechenwert_g.Min./100</f>
        <v>0</v>
      </c>
      <c r="F26" s="4">
        <f t="shared" ca="1" si="6"/>
        <v>0</v>
      </c>
      <c r="G26" s="4">
        <f t="shared" si="7"/>
        <v>0</v>
      </c>
      <c r="H26" s="4">
        <f t="shared" ca="1" si="8"/>
        <v>0</v>
      </c>
      <c r="I26" s="4">
        <f t="shared" si="9"/>
        <v>0</v>
      </c>
      <c r="J26" s="4">
        <f t="shared" ca="1" si="10"/>
        <v>0</v>
      </c>
      <c r="K26" s="4">
        <f t="shared" si="11"/>
        <v>0</v>
      </c>
      <c r="L26" s="4">
        <f t="shared" ca="1" si="12"/>
        <v>0</v>
      </c>
      <c r="M26" s="4">
        <f t="shared" ca="1" si="16"/>
        <v>0</v>
      </c>
      <c r="N26" s="4">
        <f t="shared" ca="1" si="13"/>
        <v>0</v>
      </c>
      <c r="O26" s="4">
        <f t="shared" ca="1" si="14"/>
        <v>0</v>
      </c>
      <c r="P26" s="4">
        <f t="shared" ca="1" si="1"/>
        <v>0</v>
      </c>
      <c r="Q26" s="4">
        <f t="shared" ca="1" si="2"/>
        <v>0</v>
      </c>
    </row>
    <row r="27" spans="1:17" x14ac:dyDescent="0.2">
      <c r="A27">
        <f t="shared" si="15"/>
        <v>22</v>
      </c>
      <c r="B27">
        <f t="shared" si="3"/>
        <v>22</v>
      </c>
      <c r="C27" s="3">
        <f t="shared" si="4"/>
        <v>91.823333333333323</v>
      </c>
      <c r="D27" s="4">
        <f t="shared" ca="1" si="5"/>
        <v>0</v>
      </c>
      <c r="E27" s="4" cm="1">
        <f t="array" aca="1" ref="E27" ca="1">D27*_ENG_Rechenwert_g.Min./100</f>
        <v>0</v>
      </c>
      <c r="F27" s="4">
        <f t="shared" ca="1" si="6"/>
        <v>0</v>
      </c>
      <c r="G27" s="4">
        <f t="shared" si="7"/>
        <v>0</v>
      </c>
      <c r="H27" s="4">
        <f t="shared" ca="1" si="8"/>
        <v>0</v>
      </c>
      <c r="I27" s="4">
        <f t="shared" si="9"/>
        <v>0</v>
      </c>
      <c r="J27" s="4">
        <f t="shared" ca="1" si="10"/>
        <v>0</v>
      </c>
      <c r="K27" s="4">
        <f t="shared" si="11"/>
        <v>0</v>
      </c>
      <c r="L27" s="4">
        <f t="shared" ca="1" si="12"/>
        <v>0</v>
      </c>
      <c r="M27" s="4">
        <f t="shared" ca="1" si="16"/>
        <v>0</v>
      </c>
      <c r="N27" s="4">
        <f t="shared" ca="1" si="13"/>
        <v>0</v>
      </c>
      <c r="O27" s="4">
        <f t="shared" ca="1" si="14"/>
        <v>0</v>
      </c>
      <c r="P27" s="4">
        <f t="shared" ca="1" si="1"/>
        <v>0</v>
      </c>
      <c r="Q27" s="4">
        <f t="shared" ca="1" si="2"/>
        <v>0</v>
      </c>
    </row>
    <row r="28" spans="1:17" x14ac:dyDescent="0.2">
      <c r="A28">
        <f t="shared" si="15"/>
        <v>23</v>
      </c>
      <c r="B28">
        <f t="shared" si="3"/>
        <v>23</v>
      </c>
      <c r="C28" s="3">
        <f t="shared" si="4"/>
        <v>91.451666666666668</v>
      </c>
      <c r="D28" s="4">
        <f t="shared" ca="1" si="5"/>
        <v>0</v>
      </c>
      <c r="E28" s="4" cm="1">
        <f t="array" aca="1" ref="E28" ca="1">D28*_ENG_Rechenwert_g.Min./100</f>
        <v>0</v>
      </c>
      <c r="F28" s="4">
        <f t="shared" ca="1" si="6"/>
        <v>0</v>
      </c>
      <c r="G28" s="4">
        <f t="shared" si="7"/>
        <v>0</v>
      </c>
      <c r="H28" s="4">
        <f t="shared" ca="1" si="8"/>
        <v>0</v>
      </c>
      <c r="I28" s="4">
        <f t="shared" si="9"/>
        <v>0</v>
      </c>
      <c r="J28" s="4">
        <f t="shared" ca="1" si="10"/>
        <v>0</v>
      </c>
      <c r="K28" s="4">
        <f t="shared" si="11"/>
        <v>0</v>
      </c>
      <c r="L28" s="4">
        <f t="shared" ca="1" si="12"/>
        <v>0</v>
      </c>
      <c r="M28" s="4">
        <f t="shared" ca="1" si="16"/>
        <v>0</v>
      </c>
      <c r="N28" s="4">
        <f t="shared" ca="1" si="13"/>
        <v>0</v>
      </c>
      <c r="O28" s="4">
        <f t="shared" ca="1" si="14"/>
        <v>0</v>
      </c>
      <c r="P28" s="4">
        <f t="shared" ca="1" si="1"/>
        <v>0</v>
      </c>
      <c r="Q28" s="4">
        <f t="shared" ca="1" si="2"/>
        <v>0</v>
      </c>
    </row>
    <row r="29" spans="1:17" x14ac:dyDescent="0.2">
      <c r="A29">
        <f t="shared" si="15"/>
        <v>24</v>
      </c>
      <c r="B29">
        <f t="shared" si="3"/>
        <v>24</v>
      </c>
      <c r="C29" s="3">
        <f t="shared" si="4"/>
        <v>91.08</v>
      </c>
      <c r="D29" s="4">
        <f t="shared" ca="1" si="5"/>
        <v>0</v>
      </c>
      <c r="E29" s="4" cm="1">
        <f t="array" aca="1" ref="E29" ca="1">D29*_ENG_Rechenwert_g.Min./100</f>
        <v>0</v>
      </c>
      <c r="F29" s="4">
        <f t="shared" ca="1" si="6"/>
        <v>0</v>
      </c>
      <c r="G29" s="4">
        <f t="shared" si="7"/>
        <v>0</v>
      </c>
      <c r="H29" s="4">
        <f t="shared" ca="1" si="8"/>
        <v>0</v>
      </c>
      <c r="I29" s="4">
        <f t="shared" si="9"/>
        <v>0</v>
      </c>
      <c r="J29" s="4">
        <f t="shared" ca="1" si="10"/>
        <v>0</v>
      </c>
      <c r="K29" s="4">
        <f t="shared" si="11"/>
        <v>0</v>
      </c>
      <c r="L29" s="4">
        <f t="shared" ca="1" si="12"/>
        <v>0</v>
      </c>
      <c r="M29" s="4">
        <f t="shared" ca="1" si="16"/>
        <v>0</v>
      </c>
      <c r="N29" s="4">
        <f t="shared" ca="1" si="13"/>
        <v>0</v>
      </c>
      <c r="O29" s="4">
        <f t="shared" ca="1" si="14"/>
        <v>0</v>
      </c>
      <c r="P29" s="4">
        <f t="shared" ca="1" si="1"/>
        <v>0</v>
      </c>
      <c r="Q29" s="4">
        <f t="shared" ca="1" si="2"/>
        <v>0</v>
      </c>
    </row>
    <row r="30" spans="1:17" x14ac:dyDescent="0.2">
      <c r="A30">
        <f t="shared" si="15"/>
        <v>25</v>
      </c>
      <c r="B30">
        <f t="shared" si="3"/>
        <v>25</v>
      </c>
      <c r="C30" s="3">
        <f t="shared" si="4"/>
        <v>90.708333333333329</v>
      </c>
      <c r="D30" s="4">
        <f t="shared" ca="1" si="5"/>
        <v>0</v>
      </c>
      <c r="E30" s="4" cm="1">
        <f t="array" aca="1" ref="E30" ca="1">D30*_ENG_Rechenwert_g.Min./100</f>
        <v>0</v>
      </c>
      <c r="F30" s="4">
        <f t="shared" ca="1" si="6"/>
        <v>0</v>
      </c>
      <c r="G30" s="4">
        <f t="shared" si="7"/>
        <v>0</v>
      </c>
      <c r="H30" s="4">
        <f t="shared" ca="1" si="8"/>
        <v>0</v>
      </c>
      <c r="I30" s="4">
        <f t="shared" si="9"/>
        <v>0</v>
      </c>
      <c r="J30" s="4">
        <f t="shared" ca="1" si="10"/>
        <v>0</v>
      </c>
      <c r="K30" s="4">
        <f t="shared" si="11"/>
        <v>0</v>
      </c>
      <c r="L30" s="4">
        <f t="shared" ca="1" si="12"/>
        <v>0</v>
      </c>
      <c r="M30" s="4">
        <f t="shared" ca="1" si="16"/>
        <v>0</v>
      </c>
      <c r="N30" s="4">
        <f t="shared" ca="1" si="13"/>
        <v>0</v>
      </c>
      <c r="O30" s="4">
        <f t="shared" ca="1" si="14"/>
        <v>0</v>
      </c>
      <c r="P30" s="4">
        <f t="shared" ca="1" si="1"/>
        <v>0</v>
      </c>
      <c r="Q30" s="4">
        <f t="shared" ca="1" si="2"/>
        <v>0</v>
      </c>
    </row>
    <row r="31" spans="1:17" x14ac:dyDescent="0.2">
      <c r="A31">
        <f t="shared" si="15"/>
        <v>26</v>
      </c>
      <c r="B31">
        <f t="shared" si="3"/>
        <v>26</v>
      </c>
      <c r="C31" s="3">
        <f t="shared" si="4"/>
        <v>90.336666666666659</v>
      </c>
      <c r="D31" s="4">
        <f t="shared" ca="1" si="5"/>
        <v>0</v>
      </c>
      <c r="E31" s="4" cm="1">
        <f t="array" aca="1" ref="E31" ca="1">D31*_ENG_Rechenwert_g.Min./100</f>
        <v>0</v>
      </c>
      <c r="F31" s="4">
        <f t="shared" ca="1" si="6"/>
        <v>0</v>
      </c>
      <c r="G31" s="4">
        <f t="shared" si="7"/>
        <v>0</v>
      </c>
      <c r="H31" s="4">
        <f t="shared" ca="1" si="8"/>
        <v>0</v>
      </c>
      <c r="I31" s="4">
        <f t="shared" si="9"/>
        <v>0</v>
      </c>
      <c r="J31" s="4">
        <f t="shared" ca="1" si="10"/>
        <v>0</v>
      </c>
      <c r="K31" s="4">
        <f t="shared" si="11"/>
        <v>0</v>
      </c>
      <c r="L31" s="4">
        <f t="shared" ca="1" si="12"/>
        <v>0</v>
      </c>
      <c r="M31" s="4">
        <f t="shared" ca="1" si="16"/>
        <v>0</v>
      </c>
      <c r="N31" s="4">
        <f t="shared" ca="1" si="13"/>
        <v>0</v>
      </c>
      <c r="O31" s="4">
        <f t="shared" ca="1" si="14"/>
        <v>0</v>
      </c>
      <c r="P31" s="4">
        <f t="shared" ca="1" si="1"/>
        <v>0</v>
      </c>
      <c r="Q31" s="4">
        <f t="shared" ca="1" si="2"/>
        <v>0</v>
      </c>
    </row>
    <row r="32" spans="1:17" x14ac:dyDescent="0.2">
      <c r="A32">
        <f t="shared" si="15"/>
        <v>27</v>
      </c>
      <c r="B32">
        <f t="shared" si="3"/>
        <v>27</v>
      </c>
      <c r="C32" s="3">
        <f t="shared" si="4"/>
        <v>89.964999999999989</v>
      </c>
      <c r="D32" s="4">
        <f t="shared" ca="1" si="5"/>
        <v>0</v>
      </c>
      <c r="E32" s="4" cm="1">
        <f t="array" aca="1" ref="E32" ca="1">D32*_ENG_Rechenwert_g.Min./100</f>
        <v>0</v>
      </c>
      <c r="F32" s="4">
        <f t="shared" ca="1" si="6"/>
        <v>0</v>
      </c>
      <c r="G32" s="4">
        <f t="shared" si="7"/>
        <v>0</v>
      </c>
      <c r="H32" s="4">
        <f t="shared" ca="1" si="8"/>
        <v>0</v>
      </c>
      <c r="I32" s="4">
        <f t="shared" si="9"/>
        <v>0</v>
      </c>
      <c r="J32" s="4">
        <f t="shared" ca="1" si="10"/>
        <v>0</v>
      </c>
      <c r="K32" s="4">
        <f t="shared" si="11"/>
        <v>0</v>
      </c>
      <c r="L32" s="4">
        <f t="shared" ca="1" si="12"/>
        <v>0</v>
      </c>
      <c r="M32" s="4">
        <f t="shared" ca="1" si="16"/>
        <v>0</v>
      </c>
      <c r="N32" s="4">
        <f t="shared" ca="1" si="13"/>
        <v>0</v>
      </c>
      <c r="O32" s="4">
        <f t="shared" ca="1" si="14"/>
        <v>0</v>
      </c>
      <c r="P32" s="4">
        <f t="shared" ca="1" si="1"/>
        <v>0</v>
      </c>
      <c r="Q32" s="4">
        <f t="shared" ca="1" si="2"/>
        <v>0</v>
      </c>
    </row>
    <row r="33" spans="1:17" x14ac:dyDescent="0.2">
      <c r="A33">
        <f t="shared" si="15"/>
        <v>28</v>
      </c>
      <c r="B33">
        <f t="shared" si="3"/>
        <v>28</v>
      </c>
      <c r="C33" s="3">
        <f t="shared" si="4"/>
        <v>89.593333333333334</v>
      </c>
      <c r="D33" s="4">
        <f t="shared" ca="1" si="5"/>
        <v>0</v>
      </c>
      <c r="E33" s="4" cm="1">
        <f t="array" aca="1" ref="E33" ca="1">D33*_ENG_Rechenwert_g.Min./100</f>
        <v>0</v>
      </c>
      <c r="F33" s="4">
        <f t="shared" ca="1" si="6"/>
        <v>0</v>
      </c>
      <c r="G33" s="4">
        <f t="shared" si="7"/>
        <v>0</v>
      </c>
      <c r="H33" s="4">
        <f t="shared" ca="1" si="8"/>
        <v>0</v>
      </c>
      <c r="I33" s="4">
        <f t="shared" si="9"/>
        <v>0</v>
      </c>
      <c r="J33" s="4">
        <f t="shared" ca="1" si="10"/>
        <v>0</v>
      </c>
      <c r="K33" s="4">
        <f t="shared" si="11"/>
        <v>0</v>
      </c>
      <c r="L33" s="4">
        <f t="shared" ca="1" si="12"/>
        <v>0</v>
      </c>
      <c r="M33" s="4">
        <f t="shared" ca="1" si="16"/>
        <v>0</v>
      </c>
      <c r="N33" s="4">
        <f t="shared" ca="1" si="13"/>
        <v>0</v>
      </c>
      <c r="O33" s="4">
        <f t="shared" ca="1" si="14"/>
        <v>0</v>
      </c>
      <c r="P33" s="4">
        <f t="shared" ca="1" si="1"/>
        <v>0</v>
      </c>
      <c r="Q33" s="4">
        <f t="shared" ca="1" si="2"/>
        <v>0</v>
      </c>
    </row>
    <row r="34" spans="1:17" x14ac:dyDescent="0.2">
      <c r="A34">
        <f t="shared" si="15"/>
        <v>29</v>
      </c>
      <c r="B34">
        <f t="shared" si="3"/>
        <v>29</v>
      </c>
      <c r="C34" s="3">
        <f t="shared" si="4"/>
        <v>89.221666666666664</v>
      </c>
      <c r="D34" s="4">
        <f t="shared" ca="1" si="5"/>
        <v>0</v>
      </c>
      <c r="E34" s="4" cm="1">
        <f t="array" aca="1" ref="E34" ca="1">D34*_ENG_Rechenwert_g.Min./100</f>
        <v>0</v>
      </c>
      <c r="F34" s="4">
        <f t="shared" ca="1" si="6"/>
        <v>0</v>
      </c>
      <c r="G34" s="4">
        <f t="shared" si="7"/>
        <v>0</v>
      </c>
      <c r="H34" s="4">
        <f t="shared" ca="1" si="8"/>
        <v>0</v>
      </c>
      <c r="I34" s="4">
        <f t="shared" si="9"/>
        <v>0</v>
      </c>
      <c r="J34" s="4">
        <f t="shared" ca="1" si="10"/>
        <v>0</v>
      </c>
      <c r="K34" s="4">
        <f t="shared" si="11"/>
        <v>0</v>
      </c>
      <c r="L34" s="4">
        <f t="shared" ca="1" si="12"/>
        <v>0</v>
      </c>
      <c r="M34" s="4">
        <f t="shared" ca="1" si="16"/>
        <v>0</v>
      </c>
      <c r="N34" s="4">
        <f t="shared" ca="1" si="13"/>
        <v>0</v>
      </c>
      <c r="O34" s="4">
        <f t="shared" ca="1" si="14"/>
        <v>0</v>
      </c>
      <c r="P34" s="4">
        <f t="shared" ca="1" si="1"/>
        <v>0</v>
      </c>
      <c r="Q34" s="4">
        <f t="shared" ca="1" si="2"/>
        <v>0</v>
      </c>
    </row>
    <row r="35" spans="1:17" x14ac:dyDescent="0.2">
      <c r="A35">
        <f t="shared" si="15"/>
        <v>30</v>
      </c>
      <c r="B35">
        <f t="shared" si="3"/>
        <v>30</v>
      </c>
      <c r="C35" s="3">
        <f t="shared" si="4"/>
        <v>88.85</v>
      </c>
      <c r="D35" s="4">
        <f t="shared" ca="1" si="5"/>
        <v>0</v>
      </c>
      <c r="E35" s="4" cm="1">
        <f t="array" aca="1" ref="E35" ca="1">D35*_ENG_Rechenwert_g.Min./100</f>
        <v>0</v>
      </c>
      <c r="F35" s="4">
        <f t="shared" ca="1" si="6"/>
        <v>0</v>
      </c>
      <c r="G35" s="4">
        <f t="shared" si="7"/>
        <v>0</v>
      </c>
      <c r="H35" s="4">
        <f t="shared" ca="1" si="8"/>
        <v>0</v>
      </c>
      <c r="I35" s="4">
        <f t="shared" si="9"/>
        <v>0</v>
      </c>
      <c r="J35" s="4">
        <f t="shared" ca="1" si="10"/>
        <v>0</v>
      </c>
      <c r="K35" s="4">
        <f t="shared" si="11"/>
        <v>0</v>
      </c>
      <c r="L35" s="4">
        <f t="shared" ca="1" si="12"/>
        <v>0</v>
      </c>
      <c r="M35" s="4">
        <f t="shared" ca="1" si="16"/>
        <v>0</v>
      </c>
      <c r="N35" s="4">
        <f t="shared" ca="1" si="13"/>
        <v>0</v>
      </c>
      <c r="O35" s="4">
        <f t="shared" ca="1" si="14"/>
        <v>0</v>
      </c>
      <c r="P35" s="4">
        <f t="shared" ca="1" si="1"/>
        <v>0</v>
      </c>
      <c r="Q35" s="4">
        <f t="shared" ca="1" si="2"/>
        <v>0</v>
      </c>
    </row>
    <row r="36" spans="1:17" x14ac:dyDescent="0.2">
      <c r="A36">
        <f t="shared" si="15"/>
        <v>31</v>
      </c>
      <c r="B36" t="str">
        <f t="shared" si="3"/>
        <v/>
      </c>
      <c r="C36" s="3">
        <f t="shared" si="4"/>
        <v>0</v>
      </c>
      <c r="D36" s="4">
        <f t="shared" ca="1" si="5"/>
        <v>0</v>
      </c>
      <c r="E36" s="4" cm="1">
        <f t="array" aca="1" ref="E36" ca="1">D36*_ENG_Rechenwert_g.Min./100</f>
        <v>0</v>
      </c>
      <c r="F36" s="4">
        <f t="shared" ca="1" si="6"/>
        <v>0</v>
      </c>
      <c r="G36" s="4">
        <f t="shared" si="7"/>
        <v>0</v>
      </c>
      <c r="H36" s="4">
        <f t="shared" ca="1" si="8"/>
        <v>0</v>
      </c>
      <c r="I36" s="4">
        <f t="shared" si="9"/>
        <v>0</v>
      </c>
      <c r="J36" s="4">
        <f t="shared" ca="1" si="10"/>
        <v>0</v>
      </c>
      <c r="K36" s="4">
        <f t="shared" si="11"/>
        <v>0</v>
      </c>
      <c r="L36" s="4" t="str">
        <f t="shared" si="12"/>
        <v/>
      </c>
      <c r="M36" s="4">
        <f t="shared" ca="1" si="16"/>
        <v>0</v>
      </c>
      <c r="N36" s="4">
        <f t="shared" ca="1" si="13"/>
        <v>0</v>
      </c>
      <c r="O36" s="4">
        <f t="shared" ca="1" si="14"/>
        <v>0</v>
      </c>
      <c r="P36" s="4" t="str">
        <f t="shared" ref="P36:P99" si="17">IF(ISNUMBER(B36),IF(N36&lt;0,N36,0),"")</f>
        <v/>
      </c>
      <c r="Q36" s="4" t="str">
        <f t="shared" ref="Q36:Q99" si="18">IF(ISNUMBER(B36),IF(N36&gt;0,N36,0),"")</f>
        <v/>
      </c>
    </row>
    <row r="37" spans="1:17" x14ac:dyDescent="0.2">
      <c r="A37">
        <f t="shared" si="15"/>
        <v>32</v>
      </c>
      <c r="B37" t="str">
        <f t="shared" si="3"/>
        <v/>
      </c>
      <c r="C37" s="3">
        <f t="shared" si="4"/>
        <v>0</v>
      </c>
      <c r="D37" s="4">
        <f t="shared" ca="1" si="5"/>
        <v>0</v>
      </c>
      <c r="E37" s="4" cm="1">
        <f t="array" aca="1" ref="E37" ca="1">D37*_ENG_Rechenwert_g.Min./100</f>
        <v>0</v>
      </c>
      <c r="F37" s="4">
        <f t="shared" ca="1" si="6"/>
        <v>0</v>
      </c>
      <c r="G37" s="4">
        <f t="shared" si="7"/>
        <v>0</v>
      </c>
      <c r="H37" s="4">
        <f t="shared" ca="1" si="8"/>
        <v>0</v>
      </c>
      <c r="I37" s="4">
        <f t="shared" si="9"/>
        <v>0</v>
      </c>
      <c r="J37" s="4">
        <f t="shared" ca="1" si="10"/>
        <v>0</v>
      </c>
      <c r="K37" s="4">
        <f t="shared" si="11"/>
        <v>0</v>
      </c>
      <c r="L37" s="4" t="str">
        <f t="shared" si="12"/>
        <v/>
      </c>
      <c r="M37" s="4">
        <f t="shared" ca="1" si="16"/>
        <v>0</v>
      </c>
      <c r="N37" s="4">
        <f t="shared" ca="1" si="13"/>
        <v>0</v>
      </c>
      <c r="O37" s="4">
        <f t="shared" ca="1" si="14"/>
        <v>0</v>
      </c>
      <c r="P37" s="4" t="str">
        <f t="shared" si="17"/>
        <v/>
      </c>
      <c r="Q37" s="4" t="str">
        <f t="shared" si="18"/>
        <v/>
      </c>
    </row>
    <row r="38" spans="1:17" x14ac:dyDescent="0.2">
      <c r="A38">
        <f t="shared" si="15"/>
        <v>33</v>
      </c>
      <c r="B38" t="str">
        <f t="shared" si="3"/>
        <v/>
      </c>
      <c r="C38" s="3">
        <f t="shared" ref="C38:C69" si="19">IF(ISNUMBER(B38),$C$5-B38*_Degradation_pro_Jahr_Standard,0)</f>
        <v>0</v>
      </c>
      <c r="D38" s="4">
        <f t="shared" ref="D38:D69" ca="1" si="20">_Ertrag_g.Min.*C38/100</f>
        <v>0</v>
      </c>
      <c r="E38" s="4" cm="1">
        <f t="array" aca="1" ref="E38" ca="1">D38*_ENG_Rechenwert_g.Min./100</f>
        <v>0</v>
      </c>
      <c r="F38" s="4">
        <f t="shared" ref="F38:F69" ca="1" si="21">(D38-E38)*_Tarif_Rücklieferung/100</f>
        <v>0</v>
      </c>
      <c r="G38" s="4">
        <f t="shared" ref="G38:G69" si="22">IF(_MWSt_pflichtig,F38*_MWSt_Satz/100,0)</f>
        <v>0</v>
      </c>
      <c r="H38" s="4">
        <f t="shared" ref="H38:H69" ca="1" si="23">E38*_Tarif_Bezug/100</f>
        <v>0</v>
      </c>
      <c r="I38" s="4">
        <f t="shared" ref="I38:I69" si="24">IF(_EIV_t_auszahlung=B38,-_EIV_g.Min._Rechenwert,0)+IF(_EF_t=B38,-_EF_g.Min._Rechenwert,0)</f>
        <v>0</v>
      </c>
      <c r="J38" s="4">
        <f t="shared" ref="J38:J69" ca="1" si="25">-D38*_Tarif_Unterhalt_Rechenwert_g.Min./100</f>
        <v>0</v>
      </c>
      <c r="K38" s="4">
        <f t="shared" ref="K38:K69" si="26">IF(_MWSt_pflichtig,J38*_MWSt_Satz/100,0)</f>
        <v>0</v>
      </c>
      <c r="L38" s="4" t="str">
        <f t="shared" ref="L38:L69" si="27">IF(B38&lt;=_Lebensdauer,PMT(_Kap_Verzinsung/100,_Lebensdauer,_Investitionskosten_g.Min.),"")</f>
        <v/>
      </c>
      <c r="M38" s="4">
        <f t="shared" ref="M38:M69" ca="1" si="28">SUM(F38:L38)</f>
        <v>0</v>
      </c>
      <c r="N38" s="4">
        <f t="shared" ref="N38:N69" ca="1" si="29">N37+M38</f>
        <v>0</v>
      </c>
      <c r="O38" s="4">
        <f t="shared" ref="O38:O69" ca="1" si="30">IF(AND(N37&lt;0,N38&gt;=0),B38,0)</f>
        <v>0</v>
      </c>
      <c r="P38" s="4" t="str">
        <f t="shared" si="17"/>
        <v/>
      </c>
      <c r="Q38" s="4" t="str">
        <f t="shared" si="18"/>
        <v/>
      </c>
    </row>
    <row r="39" spans="1:17" x14ac:dyDescent="0.2">
      <c r="A39">
        <f t="shared" si="15"/>
        <v>34</v>
      </c>
      <c r="B39" t="str">
        <f t="shared" si="3"/>
        <v/>
      </c>
      <c r="C39" s="3">
        <f t="shared" si="19"/>
        <v>0</v>
      </c>
      <c r="D39" s="4">
        <f t="shared" ca="1" si="20"/>
        <v>0</v>
      </c>
      <c r="E39" s="4" cm="1">
        <f t="array" aca="1" ref="E39" ca="1">D39*_ENG_Rechenwert_g.Min./100</f>
        <v>0</v>
      </c>
      <c r="F39" s="4">
        <f t="shared" ca="1" si="21"/>
        <v>0</v>
      </c>
      <c r="G39" s="4">
        <f t="shared" si="22"/>
        <v>0</v>
      </c>
      <c r="H39" s="4">
        <f t="shared" ca="1" si="23"/>
        <v>0</v>
      </c>
      <c r="I39" s="4">
        <f t="shared" si="24"/>
        <v>0</v>
      </c>
      <c r="J39" s="4">
        <f t="shared" ca="1" si="25"/>
        <v>0</v>
      </c>
      <c r="K39" s="4">
        <f t="shared" si="26"/>
        <v>0</v>
      </c>
      <c r="L39" s="4" t="str">
        <f t="shared" si="27"/>
        <v/>
      </c>
      <c r="M39" s="4">
        <f t="shared" ca="1" si="28"/>
        <v>0</v>
      </c>
      <c r="N39" s="4">
        <f t="shared" ca="1" si="29"/>
        <v>0</v>
      </c>
      <c r="O39" s="4">
        <f t="shared" ca="1" si="30"/>
        <v>0</v>
      </c>
      <c r="P39" s="4" t="str">
        <f t="shared" si="17"/>
        <v/>
      </c>
      <c r="Q39" s="4" t="str">
        <f t="shared" si="18"/>
        <v/>
      </c>
    </row>
    <row r="40" spans="1:17" x14ac:dyDescent="0.2">
      <c r="A40">
        <f t="shared" si="15"/>
        <v>35</v>
      </c>
      <c r="B40" t="str">
        <f t="shared" si="3"/>
        <v/>
      </c>
      <c r="C40" s="3">
        <f t="shared" si="19"/>
        <v>0</v>
      </c>
      <c r="D40" s="4">
        <f t="shared" ca="1" si="20"/>
        <v>0</v>
      </c>
      <c r="E40" s="4" cm="1">
        <f t="array" aca="1" ref="E40" ca="1">D40*_ENG_Rechenwert_g.Min./100</f>
        <v>0</v>
      </c>
      <c r="F40" s="4">
        <f t="shared" ca="1" si="21"/>
        <v>0</v>
      </c>
      <c r="G40" s="4">
        <f t="shared" si="22"/>
        <v>0</v>
      </c>
      <c r="H40" s="4">
        <f t="shared" ca="1" si="23"/>
        <v>0</v>
      </c>
      <c r="I40" s="4">
        <f t="shared" si="24"/>
        <v>0</v>
      </c>
      <c r="J40" s="4">
        <f t="shared" ca="1" si="25"/>
        <v>0</v>
      </c>
      <c r="K40" s="4">
        <f t="shared" si="26"/>
        <v>0</v>
      </c>
      <c r="L40" s="4" t="str">
        <f t="shared" si="27"/>
        <v/>
      </c>
      <c r="M40" s="4">
        <f t="shared" ca="1" si="28"/>
        <v>0</v>
      </c>
      <c r="N40" s="4">
        <f t="shared" ca="1" si="29"/>
        <v>0</v>
      </c>
      <c r="O40" s="4">
        <f t="shared" ca="1" si="30"/>
        <v>0</v>
      </c>
      <c r="P40" s="4" t="str">
        <f t="shared" si="17"/>
        <v/>
      </c>
      <c r="Q40" s="4" t="str">
        <f t="shared" si="18"/>
        <v/>
      </c>
    </row>
    <row r="41" spans="1:17" x14ac:dyDescent="0.2">
      <c r="A41">
        <f t="shared" si="15"/>
        <v>36</v>
      </c>
      <c r="B41" t="str">
        <f t="shared" si="3"/>
        <v/>
      </c>
      <c r="C41" s="3">
        <f t="shared" si="19"/>
        <v>0</v>
      </c>
      <c r="D41" s="4">
        <f t="shared" ca="1" si="20"/>
        <v>0</v>
      </c>
      <c r="E41" s="4" cm="1">
        <f t="array" aca="1" ref="E41" ca="1">D41*_ENG_Rechenwert_g.Min./100</f>
        <v>0</v>
      </c>
      <c r="F41" s="4">
        <f t="shared" ca="1" si="21"/>
        <v>0</v>
      </c>
      <c r="G41" s="4">
        <f t="shared" si="22"/>
        <v>0</v>
      </c>
      <c r="H41" s="4">
        <f t="shared" ca="1" si="23"/>
        <v>0</v>
      </c>
      <c r="I41" s="4">
        <f t="shared" si="24"/>
        <v>0</v>
      </c>
      <c r="J41" s="4">
        <f t="shared" ca="1" si="25"/>
        <v>0</v>
      </c>
      <c r="K41" s="4">
        <f t="shared" si="26"/>
        <v>0</v>
      </c>
      <c r="L41" s="4" t="str">
        <f t="shared" si="27"/>
        <v/>
      </c>
      <c r="M41" s="4">
        <f t="shared" ca="1" si="28"/>
        <v>0</v>
      </c>
      <c r="N41" s="4">
        <f t="shared" ca="1" si="29"/>
        <v>0</v>
      </c>
      <c r="O41" s="4">
        <f t="shared" ca="1" si="30"/>
        <v>0</v>
      </c>
      <c r="P41" s="4" t="str">
        <f t="shared" si="17"/>
        <v/>
      </c>
      <c r="Q41" s="4" t="str">
        <f t="shared" si="18"/>
        <v/>
      </c>
    </row>
    <row r="42" spans="1:17" x14ac:dyDescent="0.2">
      <c r="A42">
        <f t="shared" si="15"/>
        <v>37</v>
      </c>
      <c r="B42" t="str">
        <f t="shared" si="3"/>
        <v/>
      </c>
      <c r="C42" s="3">
        <f t="shared" si="19"/>
        <v>0</v>
      </c>
      <c r="D42" s="4">
        <f t="shared" ca="1" si="20"/>
        <v>0</v>
      </c>
      <c r="E42" s="4" cm="1">
        <f t="array" aca="1" ref="E42" ca="1">D42*_ENG_Rechenwert_g.Min./100</f>
        <v>0</v>
      </c>
      <c r="F42" s="4">
        <f t="shared" ca="1" si="21"/>
        <v>0</v>
      </c>
      <c r="G42" s="4">
        <f t="shared" si="22"/>
        <v>0</v>
      </c>
      <c r="H42" s="4">
        <f t="shared" ca="1" si="23"/>
        <v>0</v>
      </c>
      <c r="I42" s="4">
        <f t="shared" si="24"/>
        <v>0</v>
      </c>
      <c r="J42" s="4">
        <f t="shared" ca="1" si="25"/>
        <v>0</v>
      </c>
      <c r="K42" s="4">
        <f t="shared" si="26"/>
        <v>0</v>
      </c>
      <c r="L42" s="4" t="str">
        <f t="shared" si="27"/>
        <v/>
      </c>
      <c r="M42" s="4">
        <f t="shared" ca="1" si="28"/>
        <v>0</v>
      </c>
      <c r="N42" s="4">
        <f t="shared" ca="1" si="29"/>
        <v>0</v>
      </c>
      <c r="O42" s="4">
        <f t="shared" ca="1" si="30"/>
        <v>0</v>
      </c>
      <c r="P42" s="4" t="str">
        <f t="shared" si="17"/>
        <v/>
      </c>
      <c r="Q42" s="4" t="str">
        <f t="shared" si="18"/>
        <v/>
      </c>
    </row>
    <row r="43" spans="1:17" x14ac:dyDescent="0.2">
      <c r="A43">
        <f t="shared" si="15"/>
        <v>38</v>
      </c>
      <c r="B43" t="str">
        <f t="shared" si="3"/>
        <v/>
      </c>
      <c r="C43" s="3">
        <f t="shared" si="19"/>
        <v>0</v>
      </c>
      <c r="D43" s="4">
        <f t="shared" ca="1" si="20"/>
        <v>0</v>
      </c>
      <c r="E43" s="4" cm="1">
        <f t="array" aca="1" ref="E43" ca="1">D43*_ENG_Rechenwert_g.Min./100</f>
        <v>0</v>
      </c>
      <c r="F43" s="4">
        <f t="shared" ca="1" si="21"/>
        <v>0</v>
      </c>
      <c r="G43" s="4">
        <f t="shared" si="22"/>
        <v>0</v>
      </c>
      <c r="H43" s="4">
        <f t="shared" ca="1" si="23"/>
        <v>0</v>
      </c>
      <c r="I43" s="4">
        <f t="shared" si="24"/>
        <v>0</v>
      </c>
      <c r="J43" s="4">
        <f t="shared" ca="1" si="25"/>
        <v>0</v>
      </c>
      <c r="K43" s="4">
        <f t="shared" si="26"/>
        <v>0</v>
      </c>
      <c r="L43" s="4" t="str">
        <f t="shared" si="27"/>
        <v/>
      </c>
      <c r="M43" s="4">
        <f t="shared" ca="1" si="28"/>
        <v>0</v>
      </c>
      <c r="N43" s="4">
        <f t="shared" ca="1" si="29"/>
        <v>0</v>
      </c>
      <c r="O43" s="4">
        <f t="shared" ca="1" si="30"/>
        <v>0</v>
      </c>
      <c r="P43" s="4" t="str">
        <f t="shared" si="17"/>
        <v/>
      </c>
      <c r="Q43" s="4" t="str">
        <f t="shared" si="18"/>
        <v/>
      </c>
    </row>
    <row r="44" spans="1:17" x14ac:dyDescent="0.2">
      <c r="A44">
        <f t="shared" si="15"/>
        <v>39</v>
      </c>
      <c r="B44" t="str">
        <f t="shared" si="3"/>
        <v/>
      </c>
      <c r="C44" s="3">
        <f t="shared" si="19"/>
        <v>0</v>
      </c>
      <c r="D44" s="4">
        <f t="shared" ca="1" si="20"/>
        <v>0</v>
      </c>
      <c r="E44" s="4" cm="1">
        <f t="array" aca="1" ref="E44" ca="1">D44*_ENG_Rechenwert_g.Min./100</f>
        <v>0</v>
      </c>
      <c r="F44" s="4">
        <f t="shared" ca="1" si="21"/>
        <v>0</v>
      </c>
      <c r="G44" s="4">
        <f t="shared" si="22"/>
        <v>0</v>
      </c>
      <c r="H44" s="4">
        <f t="shared" ca="1" si="23"/>
        <v>0</v>
      </c>
      <c r="I44" s="4">
        <f t="shared" si="24"/>
        <v>0</v>
      </c>
      <c r="J44" s="4">
        <f t="shared" ca="1" si="25"/>
        <v>0</v>
      </c>
      <c r="K44" s="4">
        <f t="shared" si="26"/>
        <v>0</v>
      </c>
      <c r="L44" s="4" t="str">
        <f t="shared" si="27"/>
        <v/>
      </c>
      <c r="M44" s="4">
        <f t="shared" ca="1" si="28"/>
        <v>0</v>
      </c>
      <c r="N44" s="4">
        <f t="shared" ca="1" si="29"/>
        <v>0</v>
      </c>
      <c r="O44" s="4">
        <f t="shared" ca="1" si="30"/>
        <v>0</v>
      </c>
      <c r="P44" s="4" t="str">
        <f t="shared" si="17"/>
        <v/>
      </c>
      <c r="Q44" s="4" t="str">
        <f t="shared" si="18"/>
        <v/>
      </c>
    </row>
    <row r="45" spans="1:17" x14ac:dyDescent="0.2">
      <c r="A45">
        <f t="shared" si="15"/>
        <v>40</v>
      </c>
      <c r="B45" t="str">
        <f t="shared" si="3"/>
        <v/>
      </c>
      <c r="C45" s="3">
        <f t="shared" si="19"/>
        <v>0</v>
      </c>
      <c r="D45" s="4">
        <f t="shared" ca="1" si="20"/>
        <v>0</v>
      </c>
      <c r="E45" s="4" cm="1">
        <f t="array" aca="1" ref="E45" ca="1">D45*_ENG_Rechenwert_g.Min./100</f>
        <v>0</v>
      </c>
      <c r="F45" s="4">
        <f t="shared" ca="1" si="21"/>
        <v>0</v>
      </c>
      <c r="G45" s="4">
        <f t="shared" si="22"/>
        <v>0</v>
      </c>
      <c r="H45" s="4">
        <f t="shared" ca="1" si="23"/>
        <v>0</v>
      </c>
      <c r="I45" s="4">
        <f t="shared" si="24"/>
        <v>0</v>
      </c>
      <c r="J45" s="4">
        <f t="shared" ca="1" si="25"/>
        <v>0</v>
      </c>
      <c r="K45" s="4">
        <f t="shared" si="26"/>
        <v>0</v>
      </c>
      <c r="L45" s="4" t="str">
        <f t="shared" si="27"/>
        <v/>
      </c>
      <c r="M45" s="4">
        <f t="shared" ca="1" si="28"/>
        <v>0</v>
      </c>
      <c r="N45" s="4">
        <f t="shared" ca="1" si="29"/>
        <v>0</v>
      </c>
      <c r="O45" s="4">
        <f t="shared" ca="1" si="30"/>
        <v>0</v>
      </c>
      <c r="P45" s="4" t="str">
        <f t="shared" si="17"/>
        <v/>
      </c>
      <c r="Q45" s="4" t="str">
        <f t="shared" si="18"/>
        <v/>
      </c>
    </row>
    <row r="46" spans="1:17" x14ac:dyDescent="0.2">
      <c r="A46">
        <f t="shared" si="15"/>
        <v>41</v>
      </c>
      <c r="B46" t="str">
        <f t="shared" si="3"/>
        <v/>
      </c>
      <c r="C46" s="3">
        <f t="shared" si="19"/>
        <v>0</v>
      </c>
      <c r="D46" s="4">
        <f t="shared" ca="1" si="20"/>
        <v>0</v>
      </c>
      <c r="E46" s="4" cm="1">
        <f t="array" aca="1" ref="E46" ca="1">D46*_ENG_Rechenwert_g.Min./100</f>
        <v>0</v>
      </c>
      <c r="F46" s="4">
        <f t="shared" ca="1" si="21"/>
        <v>0</v>
      </c>
      <c r="G46" s="4">
        <f t="shared" si="22"/>
        <v>0</v>
      </c>
      <c r="H46" s="4">
        <f t="shared" ca="1" si="23"/>
        <v>0</v>
      </c>
      <c r="I46" s="4">
        <f t="shared" si="24"/>
        <v>0</v>
      </c>
      <c r="J46" s="4">
        <f t="shared" ca="1" si="25"/>
        <v>0</v>
      </c>
      <c r="K46" s="4">
        <f t="shared" si="26"/>
        <v>0</v>
      </c>
      <c r="L46" s="4" t="str">
        <f t="shared" si="27"/>
        <v/>
      </c>
      <c r="M46" s="4">
        <f t="shared" ca="1" si="28"/>
        <v>0</v>
      </c>
      <c r="N46" s="4">
        <f t="shared" ca="1" si="29"/>
        <v>0</v>
      </c>
      <c r="O46" s="4">
        <f t="shared" ca="1" si="30"/>
        <v>0</v>
      </c>
      <c r="P46" s="4" t="str">
        <f t="shared" si="17"/>
        <v/>
      </c>
      <c r="Q46" s="4" t="str">
        <f t="shared" si="18"/>
        <v/>
      </c>
    </row>
    <row r="47" spans="1:17" x14ac:dyDescent="0.2">
      <c r="A47">
        <f t="shared" si="15"/>
        <v>42</v>
      </c>
      <c r="B47" t="str">
        <f t="shared" si="3"/>
        <v/>
      </c>
      <c r="C47" s="3">
        <f t="shared" si="19"/>
        <v>0</v>
      </c>
      <c r="D47" s="4">
        <f t="shared" ca="1" si="20"/>
        <v>0</v>
      </c>
      <c r="E47" s="4" cm="1">
        <f t="array" aca="1" ref="E47" ca="1">D47*_ENG_Rechenwert_g.Min./100</f>
        <v>0</v>
      </c>
      <c r="F47" s="4">
        <f t="shared" ca="1" si="21"/>
        <v>0</v>
      </c>
      <c r="G47" s="4">
        <f t="shared" si="22"/>
        <v>0</v>
      </c>
      <c r="H47" s="4">
        <f t="shared" ca="1" si="23"/>
        <v>0</v>
      </c>
      <c r="I47" s="4">
        <f t="shared" si="24"/>
        <v>0</v>
      </c>
      <c r="J47" s="4">
        <f t="shared" ca="1" si="25"/>
        <v>0</v>
      </c>
      <c r="K47" s="4">
        <f t="shared" si="26"/>
        <v>0</v>
      </c>
      <c r="L47" s="4" t="str">
        <f t="shared" si="27"/>
        <v/>
      </c>
      <c r="M47" s="4">
        <f t="shared" ca="1" si="28"/>
        <v>0</v>
      </c>
      <c r="N47" s="4">
        <f t="shared" ca="1" si="29"/>
        <v>0</v>
      </c>
      <c r="O47" s="4">
        <f t="shared" ca="1" si="30"/>
        <v>0</v>
      </c>
      <c r="P47" s="4" t="str">
        <f t="shared" si="17"/>
        <v/>
      </c>
      <c r="Q47" s="4" t="str">
        <f t="shared" si="18"/>
        <v/>
      </c>
    </row>
    <row r="48" spans="1:17" x14ac:dyDescent="0.2">
      <c r="A48">
        <f t="shared" si="15"/>
        <v>43</v>
      </c>
      <c r="B48" t="str">
        <f t="shared" si="3"/>
        <v/>
      </c>
      <c r="C48" s="3">
        <f t="shared" si="19"/>
        <v>0</v>
      </c>
      <c r="D48" s="4">
        <f t="shared" ca="1" si="20"/>
        <v>0</v>
      </c>
      <c r="E48" s="4" cm="1">
        <f t="array" aca="1" ref="E48" ca="1">D48*_ENG_Rechenwert_g.Min./100</f>
        <v>0</v>
      </c>
      <c r="F48" s="4">
        <f t="shared" ca="1" si="21"/>
        <v>0</v>
      </c>
      <c r="G48" s="4">
        <f t="shared" si="22"/>
        <v>0</v>
      </c>
      <c r="H48" s="4">
        <f t="shared" ca="1" si="23"/>
        <v>0</v>
      </c>
      <c r="I48" s="4">
        <f t="shared" si="24"/>
        <v>0</v>
      </c>
      <c r="J48" s="4">
        <f t="shared" ca="1" si="25"/>
        <v>0</v>
      </c>
      <c r="K48" s="4">
        <f t="shared" si="26"/>
        <v>0</v>
      </c>
      <c r="L48" s="4" t="str">
        <f t="shared" si="27"/>
        <v/>
      </c>
      <c r="M48" s="4">
        <f t="shared" ca="1" si="28"/>
        <v>0</v>
      </c>
      <c r="N48" s="4">
        <f t="shared" ca="1" si="29"/>
        <v>0</v>
      </c>
      <c r="O48" s="4">
        <f t="shared" ca="1" si="30"/>
        <v>0</v>
      </c>
      <c r="P48" s="4" t="str">
        <f t="shared" si="17"/>
        <v/>
      </c>
      <c r="Q48" s="4" t="str">
        <f t="shared" si="18"/>
        <v/>
      </c>
    </row>
    <row r="49" spans="1:17" x14ac:dyDescent="0.2">
      <c r="A49">
        <f t="shared" si="15"/>
        <v>44</v>
      </c>
      <c r="B49" t="str">
        <f t="shared" si="3"/>
        <v/>
      </c>
      <c r="C49" s="3">
        <f t="shared" si="19"/>
        <v>0</v>
      </c>
      <c r="D49" s="4">
        <f t="shared" ca="1" si="20"/>
        <v>0</v>
      </c>
      <c r="E49" s="4" cm="1">
        <f t="array" aca="1" ref="E49" ca="1">D49*_ENG_Rechenwert_g.Min./100</f>
        <v>0</v>
      </c>
      <c r="F49" s="4">
        <f t="shared" ca="1" si="21"/>
        <v>0</v>
      </c>
      <c r="G49" s="4">
        <f t="shared" si="22"/>
        <v>0</v>
      </c>
      <c r="H49" s="4">
        <f t="shared" ca="1" si="23"/>
        <v>0</v>
      </c>
      <c r="I49" s="4">
        <f t="shared" si="24"/>
        <v>0</v>
      </c>
      <c r="J49" s="4">
        <f t="shared" ca="1" si="25"/>
        <v>0</v>
      </c>
      <c r="K49" s="4">
        <f t="shared" si="26"/>
        <v>0</v>
      </c>
      <c r="L49" s="4" t="str">
        <f t="shared" si="27"/>
        <v/>
      </c>
      <c r="M49" s="4">
        <f t="shared" ca="1" si="28"/>
        <v>0</v>
      </c>
      <c r="N49" s="4">
        <f t="shared" ca="1" si="29"/>
        <v>0</v>
      </c>
      <c r="O49" s="4">
        <f t="shared" ca="1" si="30"/>
        <v>0</v>
      </c>
      <c r="P49" s="4" t="str">
        <f t="shared" si="17"/>
        <v/>
      </c>
      <c r="Q49" s="4" t="str">
        <f t="shared" si="18"/>
        <v/>
      </c>
    </row>
    <row r="50" spans="1:17" x14ac:dyDescent="0.2">
      <c r="A50">
        <f t="shared" si="15"/>
        <v>45</v>
      </c>
      <c r="B50" t="str">
        <f t="shared" si="3"/>
        <v/>
      </c>
      <c r="C50" s="3">
        <f t="shared" si="19"/>
        <v>0</v>
      </c>
      <c r="D50" s="4">
        <f t="shared" ca="1" si="20"/>
        <v>0</v>
      </c>
      <c r="E50" s="4" cm="1">
        <f t="array" aca="1" ref="E50" ca="1">D50*_ENG_Rechenwert_g.Min./100</f>
        <v>0</v>
      </c>
      <c r="F50" s="4">
        <f t="shared" ca="1" si="21"/>
        <v>0</v>
      </c>
      <c r="G50" s="4">
        <f t="shared" si="22"/>
        <v>0</v>
      </c>
      <c r="H50" s="4">
        <f t="shared" ca="1" si="23"/>
        <v>0</v>
      </c>
      <c r="I50" s="4">
        <f t="shared" si="24"/>
        <v>0</v>
      </c>
      <c r="J50" s="4">
        <f t="shared" ca="1" si="25"/>
        <v>0</v>
      </c>
      <c r="K50" s="4">
        <f t="shared" si="26"/>
        <v>0</v>
      </c>
      <c r="L50" s="4" t="str">
        <f t="shared" si="27"/>
        <v/>
      </c>
      <c r="M50" s="4">
        <f t="shared" ca="1" si="28"/>
        <v>0</v>
      </c>
      <c r="N50" s="4">
        <f t="shared" ca="1" si="29"/>
        <v>0</v>
      </c>
      <c r="O50" s="4">
        <f t="shared" ca="1" si="30"/>
        <v>0</v>
      </c>
      <c r="P50" s="4" t="str">
        <f t="shared" si="17"/>
        <v/>
      </c>
      <c r="Q50" s="4" t="str">
        <f t="shared" si="18"/>
        <v/>
      </c>
    </row>
    <row r="51" spans="1:17" x14ac:dyDescent="0.2">
      <c r="A51">
        <f t="shared" si="15"/>
        <v>46</v>
      </c>
      <c r="B51" t="str">
        <f t="shared" si="3"/>
        <v/>
      </c>
      <c r="C51" s="3">
        <f t="shared" si="19"/>
        <v>0</v>
      </c>
      <c r="D51" s="4">
        <f t="shared" ca="1" si="20"/>
        <v>0</v>
      </c>
      <c r="E51" s="4" cm="1">
        <f t="array" aca="1" ref="E51" ca="1">D51*_ENG_Rechenwert_g.Min./100</f>
        <v>0</v>
      </c>
      <c r="F51" s="4">
        <f t="shared" ca="1" si="21"/>
        <v>0</v>
      </c>
      <c r="G51" s="4">
        <f t="shared" si="22"/>
        <v>0</v>
      </c>
      <c r="H51" s="4">
        <f t="shared" ca="1" si="23"/>
        <v>0</v>
      </c>
      <c r="I51" s="4">
        <f t="shared" si="24"/>
        <v>0</v>
      </c>
      <c r="J51" s="4">
        <f t="shared" ca="1" si="25"/>
        <v>0</v>
      </c>
      <c r="K51" s="4">
        <f t="shared" si="26"/>
        <v>0</v>
      </c>
      <c r="L51" s="4" t="str">
        <f t="shared" si="27"/>
        <v/>
      </c>
      <c r="M51" s="4">
        <f t="shared" ca="1" si="28"/>
        <v>0</v>
      </c>
      <c r="N51" s="4">
        <f t="shared" ca="1" si="29"/>
        <v>0</v>
      </c>
      <c r="O51" s="4">
        <f t="shared" ca="1" si="30"/>
        <v>0</v>
      </c>
      <c r="P51" s="4" t="str">
        <f t="shared" si="17"/>
        <v/>
      </c>
      <c r="Q51" s="4" t="str">
        <f t="shared" si="18"/>
        <v/>
      </c>
    </row>
    <row r="52" spans="1:17" x14ac:dyDescent="0.2">
      <c r="A52">
        <f t="shared" si="15"/>
        <v>47</v>
      </c>
      <c r="B52" t="str">
        <f t="shared" si="3"/>
        <v/>
      </c>
      <c r="C52" s="3">
        <f t="shared" si="19"/>
        <v>0</v>
      </c>
      <c r="D52" s="4">
        <f t="shared" ca="1" si="20"/>
        <v>0</v>
      </c>
      <c r="E52" s="4" cm="1">
        <f t="array" aca="1" ref="E52" ca="1">D52*_ENG_Rechenwert_g.Min./100</f>
        <v>0</v>
      </c>
      <c r="F52" s="4">
        <f t="shared" ca="1" si="21"/>
        <v>0</v>
      </c>
      <c r="G52" s="4">
        <f t="shared" si="22"/>
        <v>0</v>
      </c>
      <c r="H52" s="4">
        <f t="shared" ca="1" si="23"/>
        <v>0</v>
      </c>
      <c r="I52" s="4">
        <f t="shared" si="24"/>
        <v>0</v>
      </c>
      <c r="J52" s="4">
        <f t="shared" ca="1" si="25"/>
        <v>0</v>
      </c>
      <c r="K52" s="4">
        <f t="shared" si="26"/>
        <v>0</v>
      </c>
      <c r="L52" s="4" t="str">
        <f t="shared" si="27"/>
        <v/>
      </c>
      <c r="M52" s="4">
        <f t="shared" ca="1" si="28"/>
        <v>0</v>
      </c>
      <c r="N52" s="4">
        <f t="shared" ca="1" si="29"/>
        <v>0</v>
      </c>
      <c r="O52" s="4">
        <f t="shared" ca="1" si="30"/>
        <v>0</v>
      </c>
      <c r="P52" s="4" t="str">
        <f t="shared" si="17"/>
        <v/>
      </c>
      <c r="Q52" s="4" t="str">
        <f t="shared" si="18"/>
        <v/>
      </c>
    </row>
    <row r="53" spans="1:17" x14ac:dyDescent="0.2">
      <c r="A53">
        <f t="shared" si="15"/>
        <v>48</v>
      </c>
      <c r="B53" t="str">
        <f t="shared" si="3"/>
        <v/>
      </c>
      <c r="C53" s="3">
        <f t="shared" si="19"/>
        <v>0</v>
      </c>
      <c r="D53" s="4">
        <f t="shared" ca="1" si="20"/>
        <v>0</v>
      </c>
      <c r="E53" s="4" cm="1">
        <f t="array" aca="1" ref="E53" ca="1">D53*_ENG_Rechenwert_g.Min./100</f>
        <v>0</v>
      </c>
      <c r="F53" s="4">
        <f t="shared" ca="1" si="21"/>
        <v>0</v>
      </c>
      <c r="G53" s="4">
        <f t="shared" si="22"/>
        <v>0</v>
      </c>
      <c r="H53" s="4">
        <f t="shared" ca="1" si="23"/>
        <v>0</v>
      </c>
      <c r="I53" s="4">
        <f t="shared" si="24"/>
        <v>0</v>
      </c>
      <c r="J53" s="4">
        <f t="shared" ca="1" si="25"/>
        <v>0</v>
      </c>
      <c r="K53" s="4">
        <f t="shared" si="26"/>
        <v>0</v>
      </c>
      <c r="L53" s="4" t="str">
        <f t="shared" si="27"/>
        <v/>
      </c>
      <c r="M53" s="4">
        <f t="shared" ca="1" si="28"/>
        <v>0</v>
      </c>
      <c r="N53" s="4">
        <f t="shared" ca="1" si="29"/>
        <v>0</v>
      </c>
      <c r="O53" s="4">
        <f t="shared" ca="1" si="30"/>
        <v>0</v>
      </c>
      <c r="P53" s="4" t="str">
        <f t="shared" si="17"/>
        <v/>
      </c>
      <c r="Q53" s="4" t="str">
        <f t="shared" si="18"/>
        <v/>
      </c>
    </row>
    <row r="54" spans="1:17" x14ac:dyDescent="0.2">
      <c r="A54">
        <f t="shared" si="15"/>
        <v>49</v>
      </c>
      <c r="B54" t="str">
        <f t="shared" si="3"/>
        <v/>
      </c>
      <c r="C54" s="3">
        <f t="shared" si="19"/>
        <v>0</v>
      </c>
      <c r="D54" s="4">
        <f t="shared" ca="1" si="20"/>
        <v>0</v>
      </c>
      <c r="E54" s="4" cm="1">
        <f t="array" aca="1" ref="E54" ca="1">D54*_ENG_Rechenwert_g.Min./100</f>
        <v>0</v>
      </c>
      <c r="F54" s="4">
        <f t="shared" ca="1" si="21"/>
        <v>0</v>
      </c>
      <c r="G54" s="4">
        <f t="shared" si="22"/>
        <v>0</v>
      </c>
      <c r="H54" s="4">
        <f t="shared" ca="1" si="23"/>
        <v>0</v>
      </c>
      <c r="I54" s="4">
        <f t="shared" si="24"/>
        <v>0</v>
      </c>
      <c r="J54" s="4">
        <f t="shared" ca="1" si="25"/>
        <v>0</v>
      </c>
      <c r="K54" s="4">
        <f t="shared" si="26"/>
        <v>0</v>
      </c>
      <c r="L54" s="4" t="str">
        <f t="shared" si="27"/>
        <v/>
      </c>
      <c r="M54" s="4">
        <f t="shared" ca="1" si="28"/>
        <v>0</v>
      </c>
      <c r="N54" s="4">
        <f t="shared" ca="1" si="29"/>
        <v>0</v>
      </c>
      <c r="O54" s="4">
        <f t="shared" ca="1" si="30"/>
        <v>0</v>
      </c>
      <c r="P54" s="4" t="str">
        <f t="shared" si="17"/>
        <v/>
      </c>
      <c r="Q54" s="4" t="str">
        <f t="shared" si="18"/>
        <v/>
      </c>
    </row>
    <row r="55" spans="1:17" x14ac:dyDescent="0.2">
      <c r="A55">
        <f t="shared" si="15"/>
        <v>50</v>
      </c>
      <c r="B55" t="str">
        <f t="shared" si="3"/>
        <v/>
      </c>
      <c r="C55" s="3">
        <f t="shared" si="19"/>
        <v>0</v>
      </c>
      <c r="D55" s="4">
        <f t="shared" ca="1" si="20"/>
        <v>0</v>
      </c>
      <c r="E55" s="4" cm="1">
        <f t="array" aca="1" ref="E55" ca="1">D55*_ENG_Rechenwert_g.Min./100</f>
        <v>0</v>
      </c>
      <c r="F55" s="4">
        <f t="shared" ca="1" si="21"/>
        <v>0</v>
      </c>
      <c r="G55" s="4">
        <f t="shared" si="22"/>
        <v>0</v>
      </c>
      <c r="H55" s="4">
        <f t="shared" ca="1" si="23"/>
        <v>0</v>
      </c>
      <c r="I55" s="4">
        <f t="shared" si="24"/>
        <v>0</v>
      </c>
      <c r="J55" s="4">
        <f t="shared" ca="1" si="25"/>
        <v>0</v>
      </c>
      <c r="K55" s="4">
        <f t="shared" si="26"/>
        <v>0</v>
      </c>
      <c r="L55" s="4" t="str">
        <f t="shared" si="27"/>
        <v/>
      </c>
      <c r="M55" s="4">
        <f t="shared" ca="1" si="28"/>
        <v>0</v>
      </c>
      <c r="N55" s="4">
        <f t="shared" ca="1" si="29"/>
        <v>0</v>
      </c>
      <c r="O55" s="4">
        <f t="shared" ca="1" si="30"/>
        <v>0</v>
      </c>
      <c r="P55" s="4" t="str">
        <f t="shared" si="17"/>
        <v/>
      </c>
      <c r="Q55" s="4" t="str">
        <f t="shared" si="18"/>
        <v/>
      </c>
    </row>
    <row r="56" spans="1:17" x14ac:dyDescent="0.2">
      <c r="A56">
        <f t="shared" si="15"/>
        <v>51</v>
      </c>
      <c r="B56" t="str">
        <f t="shared" si="3"/>
        <v/>
      </c>
      <c r="C56" s="3">
        <f t="shared" si="19"/>
        <v>0</v>
      </c>
      <c r="D56" s="4">
        <f t="shared" ca="1" si="20"/>
        <v>0</v>
      </c>
      <c r="E56" s="4" cm="1">
        <f t="array" aca="1" ref="E56" ca="1">D56*_ENG_Rechenwert_g.Min./100</f>
        <v>0</v>
      </c>
      <c r="F56" s="4">
        <f t="shared" ca="1" si="21"/>
        <v>0</v>
      </c>
      <c r="G56" s="4">
        <f t="shared" si="22"/>
        <v>0</v>
      </c>
      <c r="H56" s="4">
        <f t="shared" ca="1" si="23"/>
        <v>0</v>
      </c>
      <c r="I56" s="4">
        <f t="shared" si="24"/>
        <v>0</v>
      </c>
      <c r="J56" s="4">
        <f t="shared" ca="1" si="25"/>
        <v>0</v>
      </c>
      <c r="K56" s="4">
        <f t="shared" si="26"/>
        <v>0</v>
      </c>
      <c r="L56" s="4" t="str">
        <f t="shared" si="27"/>
        <v/>
      </c>
      <c r="M56" s="4">
        <f t="shared" ca="1" si="28"/>
        <v>0</v>
      </c>
      <c r="N56" s="4">
        <f t="shared" ca="1" si="29"/>
        <v>0</v>
      </c>
      <c r="O56" s="4">
        <f t="shared" ca="1" si="30"/>
        <v>0</v>
      </c>
      <c r="P56" s="4" t="str">
        <f t="shared" si="17"/>
        <v/>
      </c>
      <c r="Q56" s="4" t="str">
        <f t="shared" si="18"/>
        <v/>
      </c>
    </row>
    <row r="57" spans="1:17" x14ac:dyDescent="0.2">
      <c r="A57">
        <f t="shared" si="15"/>
        <v>52</v>
      </c>
      <c r="B57" t="str">
        <f t="shared" si="3"/>
        <v/>
      </c>
      <c r="C57" s="3">
        <f t="shared" si="19"/>
        <v>0</v>
      </c>
      <c r="D57" s="4">
        <f t="shared" ca="1" si="20"/>
        <v>0</v>
      </c>
      <c r="E57" s="4" cm="1">
        <f t="array" aca="1" ref="E57" ca="1">D57*_ENG_Rechenwert_g.Min./100</f>
        <v>0</v>
      </c>
      <c r="F57" s="4">
        <f t="shared" ca="1" si="21"/>
        <v>0</v>
      </c>
      <c r="G57" s="4">
        <f t="shared" si="22"/>
        <v>0</v>
      </c>
      <c r="H57" s="4">
        <f t="shared" ca="1" si="23"/>
        <v>0</v>
      </c>
      <c r="I57" s="4">
        <f t="shared" si="24"/>
        <v>0</v>
      </c>
      <c r="J57" s="4">
        <f t="shared" ca="1" si="25"/>
        <v>0</v>
      </c>
      <c r="K57" s="4">
        <f t="shared" si="26"/>
        <v>0</v>
      </c>
      <c r="L57" s="4" t="str">
        <f t="shared" si="27"/>
        <v/>
      </c>
      <c r="M57" s="4">
        <f t="shared" ca="1" si="28"/>
        <v>0</v>
      </c>
      <c r="N57" s="4">
        <f t="shared" ca="1" si="29"/>
        <v>0</v>
      </c>
      <c r="O57" s="4">
        <f t="shared" ca="1" si="30"/>
        <v>0</v>
      </c>
      <c r="P57" s="4" t="str">
        <f t="shared" si="17"/>
        <v/>
      </c>
      <c r="Q57" s="4" t="str">
        <f t="shared" si="18"/>
        <v/>
      </c>
    </row>
    <row r="58" spans="1:17" x14ac:dyDescent="0.2">
      <c r="A58">
        <f t="shared" si="15"/>
        <v>53</v>
      </c>
      <c r="B58" t="str">
        <f t="shared" si="3"/>
        <v/>
      </c>
      <c r="C58" s="3">
        <f t="shared" si="19"/>
        <v>0</v>
      </c>
      <c r="D58" s="4">
        <f t="shared" ca="1" si="20"/>
        <v>0</v>
      </c>
      <c r="E58" s="4" cm="1">
        <f t="array" aca="1" ref="E58" ca="1">D58*_ENG_Rechenwert_g.Min./100</f>
        <v>0</v>
      </c>
      <c r="F58" s="4">
        <f t="shared" ca="1" si="21"/>
        <v>0</v>
      </c>
      <c r="G58" s="4">
        <f t="shared" si="22"/>
        <v>0</v>
      </c>
      <c r="H58" s="4">
        <f t="shared" ca="1" si="23"/>
        <v>0</v>
      </c>
      <c r="I58" s="4">
        <f t="shared" si="24"/>
        <v>0</v>
      </c>
      <c r="J58" s="4">
        <f t="shared" ca="1" si="25"/>
        <v>0</v>
      </c>
      <c r="K58" s="4">
        <f t="shared" si="26"/>
        <v>0</v>
      </c>
      <c r="L58" s="4" t="str">
        <f t="shared" si="27"/>
        <v/>
      </c>
      <c r="M58" s="4">
        <f t="shared" ca="1" si="28"/>
        <v>0</v>
      </c>
      <c r="N58" s="4">
        <f t="shared" ca="1" si="29"/>
        <v>0</v>
      </c>
      <c r="O58" s="4">
        <f t="shared" ca="1" si="30"/>
        <v>0</v>
      </c>
      <c r="P58" s="4" t="str">
        <f t="shared" si="17"/>
        <v/>
      </c>
      <c r="Q58" s="4" t="str">
        <f t="shared" si="18"/>
        <v/>
      </c>
    </row>
    <row r="59" spans="1:17" x14ac:dyDescent="0.2">
      <c r="A59">
        <f t="shared" si="15"/>
        <v>54</v>
      </c>
      <c r="B59" t="str">
        <f t="shared" si="3"/>
        <v/>
      </c>
      <c r="C59" s="3">
        <f t="shared" si="19"/>
        <v>0</v>
      </c>
      <c r="D59" s="4">
        <f t="shared" ca="1" si="20"/>
        <v>0</v>
      </c>
      <c r="E59" s="4" cm="1">
        <f t="array" aca="1" ref="E59" ca="1">D59*_ENG_Rechenwert_g.Min./100</f>
        <v>0</v>
      </c>
      <c r="F59" s="4">
        <f t="shared" ca="1" si="21"/>
        <v>0</v>
      </c>
      <c r="G59" s="4">
        <f t="shared" si="22"/>
        <v>0</v>
      </c>
      <c r="H59" s="4">
        <f t="shared" ca="1" si="23"/>
        <v>0</v>
      </c>
      <c r="I59" s="4">
        <f t="shared" si="24"/>
        <v>0</v>
      </c>
      <c r="J59" s="4">
        <f t="shared" ca="1" si="25"/>
        <v>0</v>
      </c>
      <c r="K59" s="4">
        <f t="shared" si="26"/>
        <v>0</v>
      </c>
      <c r="L59" s="4" t="str">
        <f t="shared" si="27"/>
        <v/>
      </c>
      <c r="M59" s="4">
        <f t="shared" ca="1" si="28"/>
        <v>0</v>
      </c>
      <c r="N59" s="4">
        <f t="shared" ca="1" si="29"/>
        <v>0</v>
      </c>
      <c r="O59" s="4">
        <f t="shared" ca="1" si="30"/>
        <v>0</v>
      </c>
      <c r="P59" s="4" t="str">
        <f t="shared" si="17"/>
        <v/>
      </c>
      <c r="Q59" s="4" t="str">
        <f t="shared" si="18"/>
        <v/>
      </c>
    </row>
    <row r="60" spans="1:17" x14ac:dyDescent="0.2">
      <c r="A60">
        <f t="shared" si="15"/>
        <v>55</v>
      </c>
      <c r="B60" t="str">
        <f t="shared" si="3"/>
        <v/>
      </c>
      <c r="C60" s="3">
        <f t="shared" si="19"/>
        <v>0</v>
      </c>
      <c r="D60" s="4">
        <f t="shared" ca="1" si="20"/>
        <v>0</v>
      </c>
      <c r="E60" s="4" cm="1">
        <f t="array" aca="1" ref="E60" ca="1">D60*_ENG_Rechenwert_g.Min./100</f>
        <v>0</v>
      </c>
      <c r="F60" s="4">
        <f t="shared" ca="1" si="21"/>
        <v>0</v>
      </c>
      <c r="G60" s="4">
        <f t="shared" si="22"/>
        <v>0</v>
      </c>
      <c r="H60" s="4">
        <f t="shared" ca="1" si="23"/>
        <v>0</v>
      </c>
      <c r="I60" s="4">
        <f t="shared" si="24"/>
        <v>0</v>
      </c>
      <c r="J60" s="4">
        <f t="shared" ca="1" si="25"/>
        <v>0</v>
      </c>
      <c r="K60" s="4">
        <f t="shared" si="26"/>
        <v>0</v>
      </c>
      <c r="L60" s="4" t="str">
        <f t="shared" si="27"/>
        <v/>
      </c>
      <c r="M60" s="4">
        <f t="shared" ca="1" si="28"/>
        <v>0</v>
      </c>
      <c r="N60" s="4">
        <f t="shared" ca="1" si="29"/>
        <v>0</v>
      </c>
      <c r="O60" s="4">
        <f t="shared" ca="1" si="30"/>
        <v>0</v>
      </c>
      <c r="P60" s="4" t="str">
        <f t="shared" si="17"/>
        <v/>
      </c>
      <c r="Q60" s="4" t="str">
        <f t="shared" si="18"/>
        <v/>
      </c>
    </row>
    <row r="61" spans="1:17" x14ac:dyDescent="0.2">
      <c r="A61">
        <f t="shared" si="15"/>
        <v>56</v>
      </c>
      <c r="B61" t="str">
        <f t="shared" si="3"/>
        <v/>
      </c>
      <c r="C61" s="3">
        <f t="shared" si="19"/>
        <v>0</v>
      </c>
      <c r="D61" s="4">
        <f t="shared" ca="1" si="20"/>
        <v>0</v>
      </c>
      <c r="E61" s="4" cm="1">
        <f t="array" aca="1" ref="E61" ca="1">D61*_ENG_Rechenwert_g.Min./100</f>
        <v>0</v>
      </c>
      <c r="F61" s="4">
        <f t="shared" ca="1" si="21"/>
        <v>0</v>
      </c>
      <c r="G61" s="4">
        <f t="shared" si="22"/>
        <v>0</v>
      </c>
      <c r="H61" s="4">
        <f t="shared" ca="1" si="23"/>
        <v>0</v>
      </c>
      <c r="I61" s="4">
        <f t="shared" si="24"/>
        <v>0</v>
      </c>
      <c r="J61" s="4">
        <f t="shared" ca="1" si="25"/>
        <v>0</v>
      </c>
      <c r="K61" s="4">
        <f t="shared" si="26"/>
        <v>0</v>
      </c>
      <c r="L61" s="4" t="str">
        <f t="shared" si="27"/>
        <v/>
      </c>
      <c r="M61" s="4">
        <f t="shared" ca="1" si="28"/>
        <v>0</v>
      </c>
      <c r="N61" s="4">
        <f t="shared" ca="1" si="29"/>
        <v>0</v>
      </c>
      <c r="O61" s="4">
        <f t="shared" ca="1" si="30"/>
        <v>0</v>
      </c>
      <c r="P61" s="4" t="str">
        <f t="shared" si="17"/>
        <v/>
      </c>
      <c r="Q61" s="4" t="str">
        <f t="shared" si="18"/>
        <v/>
      </c>
    </row>
    <row r="62" spans="1:17" x14ac:dyDescent="0.2">
      <c r="A62">
        <f t="shared" si="15"/>
        <v>57</v>
      </c>
      <c r="B62" t="str">
        <f t="shared" si="3"/>
        <v/>
      </c>
      <c r="C62" s="3">
        <f t="shared" si="19"/>
        <v>0</v>
      </c>
      <c r="D62" s="4">
        <f t="shared" ca="1" si="20"/>
        <v>0</v>
      </c>
      <c r="E62" s="4" cm="1">
        <f t="array" aca="1" ref="E62" ca="1">D62*_ENG_Rechenwert_g.Min./100</f>
        <v>0</v>
      </c>
      <c r="F62" s="4">
        <f t="shared" ca="1" si="21"/>
        <v>0</v>
      </c>
      <c r="G62" s="4">
        <f t="shared" si="22"/>
        <v>0</v>
      </c>
      <c r="H62" s="4">
        <f t="shared" ca="1" si="23"/>
        <v>0</v>
      </c>
      <c r="I62" s="4">
        <f t="shared" si="24"/>
        <v>0</v>
      </c>
      <c r="J62" s="4">
        <f t="shared" ca="1" si="25"/>
        <v>0</v>
      </c>
      <c r="K62" s="4">
        <f t="shared" si="26"/>
        <v>0</v>
      </c>
      <c r="L62" s="4" t="str">
        <f t="shared" si="27"/>
        <v/>
      </c>
      <c r="M62" s="4">
        <f t="shared" ca="1" si="28"/>
        <v>0</v>
      </c>
      <c r="N62" s="4">
        <f t="shared" ca="1" si="29"/>
        <v>0</v>
      </c>
      <c r="O62" s="4">
        <f t="shared" ca="1" si="30"/>
        <v>0</v>
      </c>
      <c r="P62" s="4" t="str">
        <f t="shared" si="17"/>
        <v/>
      </c>
      <c r="Q62" s="4" t="str">
        <f t="shared" si="18"/>
        <v/>
      </c>
    </row>
    <row r="63" spans="1:17" x14ac:dyDescent="0.2">
      <c r="A63">
        <f t="shared" si="15"/>
        <v>58</v>
      </c>
      <c r="B63" t="str">
        <f t="shared" si="3"/>
        <v/>
      </c>
      <c r="C63" s="3">
        <f t="shared" si="19"/>
        <v>0</v>
      </c>
      <c r="D63" s="4">
        <f t="shared" ca="1" si="20"/>
        <v>0</v>
      </c>
      <c r="E63" s="4" cm="1">
        <f t="array" aca="1" ref="E63" ca="1">D63*_ENG_Rechenwert_g.Min./100</f>
        <v>0</v>
      </c>
      <c r="F63" s="4">
        <f t="shared" ca="1" si="21"/>
        <v>0</v>
      </c>
      <c r="G63" s="4">
        <f t="shared" si="22"/>
        <v>0</v>
      </c>
      <c r="H63" s="4">
        <f t="shared" ca="1" si="23"/>
        <v>0</v>
      </c>
      <c r="I63" s="4">
        <f t="shared" si="24"/>
        <v>0</v>
      </c>
      <c r="J63" s="4">
        <f t="shared" ca="1" si="25"/>
        <v>0</v>
      </c>
      <c r="K63" s="4">
        <f t="shared" si="26"/>
        <v>0</v>
      </c>
      <c r="L63" s="4" t="str">
        <f t="shared" si="27"/>
        <v/>
      </c>
      <c r="M63" s="4">
        <f t="shared" ca="1" si="28"/>
        <v>0</v>
      </c>
      <c r="N63" s="4">
        <f t="shared" ca="1" si="29"/>
        <v>0</v>
      </c>
      <c r="O63" s="4">
        <f t="shared" ca="1" si="30"/>
        <v>0</v>
      </c>
      <c r="P63" s="4" t="str">
        <f t="shared" si="17"/>
        <v/>
      </c>
      <c r="Q63" s="4" t="str">
        <f t="shared" si="18"/>
        <v/>
      </c>
    </row>
    <row r="64" spans="1:17" x14ac:dyDescent="0.2">
      <c r="A64">
        <f t="shared" si="15"/>
        <v>59</v>
      </c>
      <c r="B64" t="str">
        <f t="shared" si="3"/>
        <v/>
      </c>
      <c r="C64" s="3">
        <f t="shared" si="19"/>
        <v>0</v>
      </c>
      <c r="D64" s="4">
        <f t="shared" ca="1" si="20"/>
        <v>0</v>
      </c>
      <c r="E64" s="4" cm="1">
        <f t="array" aca="1" ref="E64" ca="1">D64*_ENG_Rechenwert_g.Min./100</f>
        <v>0</v>
      </c>
      <c r="F64" s="4">
        <f t="shared" ca="1" si="21"/>
        <v>0</v>
      </c>
      <c r="G64" s="4">
        <f t="shared" si="22"/>
        <v>0</v>
      </c>
      <c r="H64" s="4">
        <f t="shared" ca="1" si="23"/>
        <v>0</v>
      </c>
      <c r="I64" s="4">
        <f t="shared" si="24"/>
        <v>0</v>
      </c>
      <c r="J64" s="4">
        <f t="shared" ca="1" si="25"/>
        <v>0</v>
      </c>
      <c r="K64" s="4">
        <f t="shared" si="26"/>
        <v>0</v>
      </c>
      <c r="L64" s="4" t="str">
        <f t="shared" si="27"/>
        <v/>
      </c>
      <c r="M64" s="4">
        <f t="shared" ca="1" si="28"/>
        <v>0</v>
      </c>
      <c r="N64" s="4">
        <f t="shared" ca="1" si="29"/>
        <v>0</v>
      </c>
      <c r="O64" s="4">
        <f t="shared" ca="1" si="30"/>
        <v>0</v>
      </c>
      <c r="P64" s="4" t="str">
        <f t="shared" si="17"/>
        <v/>
      </c>
      <c r="Q64" s="4" t="str">
        <f t="shared" si="18"/>
        <v/>
      </c>
    </row>
    <row r="65" spans="1:17" x14ac:dyDescent="0.2">
      <c r="A65">
        <f t="shared" si="15"/>
        <v>60</v>
      </c>
      <c r="B65" t="str">
        <f t="shared" si="3"/>
        <v/>
      </c>
      <c r="C65" s="3">
        <f t="shared" si="19"/>
        <v>0</v>
      </c>
      <c r="D65" s="4">
        <f t="shared" ca="1" si="20"/>
        <v>0</v>
      </c>
      <c r="E65" s="4" cm="1">
        <f t="array" aca="1" ref="E65" ca="1">D65*_ENG_Rechenwert_g.Min./100</f>
        <v>0</v>
      </c>
      <c r="F65" s="4">
        <f t="shared" ca="1" si="21"/>
        <v>0</v>
      </c>
      <c r="G65" s="4">
        <f t="shared" si="22"/>
        <v>0</v>
      </c>
      <c r="H65" s="4">
        <f t="shared" ca="1" si="23"/>
        <v>0</v>
      </c>
      <c r="I65" s="4">
        <f t="shared" si="24"/>
        <v>0</v>
      </c>
      <c r="J65" s="4">
        <f t="shared" ca="1" si="25"/>
        <v>0</v>
      </c>
      <c r="K65" s="4">
        <f t="shared" si="26"/>
        <v>0</v>
      </c>
      <c r="L65" s="4" t="str">
        <f t="shared" si="27"/>
        <v/>
      </c>
      <c r="M65" s="4">
        <f t="shared" ca="1" si="28"/>
        <v>0</v>
      </c>
      <c r="N65" s="4">
        <f t="shared" ca="1" si="29"/>
        <v>0</v>
      </c>
      <c r="O65" s="4">
        <f t="shared" ca="1" si="30"/>
        <v>0</v>
      </c>
      <c r="P65" s="4" t="str">
        <f t="shared" si="17"/>
        <v/>
      </c>
      <c r="Q65" s="4" t="str">
        <f t="shared" si="18"/>
        <v/>
      </c>
    </row>
    <row r="66" spans="1:17" x14ac:dyDescent="0.2">
      <c r="A66">
        <f t="shared" si="15"/>
        <v>61</v>
      </c>
      <c r="B66" t="str">
        <f t="shared" si="3"/>
        <v/>
      </c>
      <c r="C66" s="3">
        <f t="shared" si="19"/>
        <v>0</v>
      </c>
      <c r="D66" s="4">
        <f t="shared" ca="1" si="20"/>
        <v>0</v>
      </c>
      <c r="E66" s="4" cm="1">
        <f t="array" aca="1" ref="E66" ca="1">D66*_ENG_Rechenwert_g.Min./100</f>
        <v>0</v>
      </c>
      <c r="F66" s="4">
        <f t="shared" ca="1" si="21"/>
        <v>0</v>
      </c>
      <c r="G66" s="4">
        <f t="shared" si="22"/>
        <v>0</v>
      </c>
      <c r="H66" s="4">
        <f t="shared" ca="1" si="23"/>
        <v>0</v>
      </c>
      <c r="I66" s="4">
        <f t="shared" si="24"/>
        <v>0</v>
      </c>
      <c r="J66" s="4">
        <f t="shared" ca="1" si="25"/>
        <v>0</v>
      </c>
      <c r="K66" s="4">
        <f t="shared" si="26"/>
        <v>0</v>
      </c>
      <c r="L66" s="4" t="str">
        <f t="shared" si="27"/>
        <v/>
      </c>
      <c r="M66" s="4">
        <f t="shared" ca="1" si="28"/>
        <v>0</v>
      </c>
      <c r="N66" s="4">
        <f t="shared" ca="1" si="29"/>
        <v>0</v>
      </c>
      <c r="O66" s="4">
        <f t="shared" ca="1" si="30"/>
        <v>0</v>
      </c>
      <c r="P66" s="4" t="str">
        <f t="shared" si="17"/>
        <v/>
      </c>
      <c r="Q66" s="4" t="str">
        <f t="shared" si="18"/>
        <v/>
      </c>
    </row>
    <row r="67" spans="1:17" x14ac:dyDescent="0.2">
      <c r="A67">
        <f t="shared" si="15"/>
        <v>62</v>
      </c>
      <c r="B67" t="str">
        <f t="shared" si="3"/>
        <v/>
      </c>
      <c r="C67" s="3">
        <f t="shared" si="19"/>
        <v>0</v>
      </c>
      <c r="D67" s="4">
        <f t="shared" ca="1" si="20"/>
        <v>0</v>
      </c>
      <c r="E67" s="4" cm="1">
        <f t="array" aca="1" ref="E67" ca="1">D67*_ENG_Rechenwert_g.Min./100</f>
        <v>0</v>
      </c>
      <c r="F67" s="4">
        <f t="shared" ca="1" si="21"/>
        <v>0</v>
      </c>
      <c r="G67" s="4">
        <f t="shared" si="22"/>
        <v>0</v>
      </c>
      <c r="H67" s="4">
        <f t="shared" ca="1" si="23"/>
        <v>0</v>
      </c>
      <c r="I67" s="4">
        <f t="shared" si="24"/>
        <v>0</v>
      </c>
      <c r="J67" s="4">
        <f t="shared" ca="1" si="25"/>
        <v>0</v>
      </c>
      <c r="K67" s="4">
        <f t="shared" si="26"/>
        <v>0</v>
      </c>
      <c r="L67" s="4" t="str">
        <f t="shared" si="27"/>
        <v/>
      </c>
      <c r="M67" s="4">
        <f t="shared" ca="1" si="28"/>
        <v>0</v>
      </c>
      <c r="N67" s="4">
        <f t="shared" ca="1" si="29"/>
        <v>0</v>
      </c>
      <c r="O67" s="4">
        <f t="shared" ca="1" si="30"/>
        <v>0</v>
      </c>
      <c r="P67" s="4" t="str">
        <f t="shared" si="17"/>
        <v/>
      </c>
      <c r="Q67" s="4" t="str">
        <f t="shared" si="18"/>
        <v/>
      </c>
    </row>
    <row r="68" spans="1:17" x14ac:dyDescent="0.2">
      <c r="A68">
        <f t="shared" si="15"/>
        <v>63</v>
      </c>
      <c r="B68" t="str">
        <f t="shared" si="3"/>
        <v/>
      </c>
      <c r="C68" s="3">
        <f t="shared" si="19"/>
        <v>0</v>
      </c>
      <c r="D68" s="4">
        <f t="shared" ca="1" si="20"/>
        <v>0</v>
      </c>
      <c r="E68" s="4" cm="1">
        <f t="array" aca="1" ref="E68" ca="1">D68*_ENG_Rechenwert_g.Min./100</f>
        <v>0</v>
      </c>
      <c r="F68" s="4">
        <f t="shared" ca="1" si="21"/>
        <v>0</v>
      </c>
      <c r="G68" s="4">
        <f t="shared" si="22"/>
        <v>0</v>
      </c>
      <c r="H68" s="4">
        <f t="shared" ca="1" si="23"/>
        <v>0</v>
      </c>
      <c r="I68" s="4">
        <f t="shared" si="24"/>
        <v>0</v>
      </c>
      <c r="J68" s="4">
        <f t="shared" ca="1" si="25"/>
        <v>0</v>
      </c>
      <c r="K68" s="4">
        <f t="shared" si="26"/>
        <v>0</v>
      </c>
      <c r="L68" s="4" t="str">
        <f t="shared" si="27"/>
        <v/>
      </c>
      <c r="M68" s="4">
        <f t="shared" ca="1" si="28"/>
        <v>0</v>
      </c>
      <c r="N68" s="4">
        <f t="shared" ca="1" si="29"/>
        <v>0</v>
      </c>
      <c r="O68" s="4">
        <f t="shared" ca="1" si="30"/>
        <v>0</v>
      </c>
      <c r="P68" s="4" t="str">
        <f t="shared" si="17"/>
        <v/>
      </c>
      <c r="Q68" s="4" t="str">
        <f t="shared" si="18"/>
        <v/>
      </c>
    </row>
    <row r="69" spans="1:17" x14ac:dyDescent="0.2">
      <c r="A69">
        <f t="shared" si="15"/>
        <v>64</v>
      </c>
      <c r="B69" t="str">
        <f t="shared" si="3"/>
        <v/>
      </c>
      <c r="C69" s="3">
        <f t="shared" si="19"/>
        <v>0</v>
      </c>
      <c r="D69" s="4">
        <f t="shared" ca="1" si="20"/>
        <v>0</v>
      </c>
      <c r="E69" s="4" cm="1">
        <f t="array" aca="1" ref="E69" ca="1">D69*_ENG_Rechenwert_g.Min./100</f>
        <v>0</v>
      </c>
      <c r="F69" s="4">
        <f t="shared" ca="1" si="21"/>
        <v>0</v>
      </c>
      <c r="G69" s="4">
        <f t="shared" si="22"/>
        <v>0</v>
      </c>
      <c r="H69" s="4">
        <f t="shared" ca="1" si="23"/>
        <v>0</v>
      </c>
      <c r="I69" s="4">
        <f t="shared" si="24"/>
        <v>0</v>
      </c>
      <c r="J69" s="4">
        <f t="shared" ca="1" si="25"/>
        <v>0</v>
      </c>
      <c r="K69" s="4">
        <f t="shared" si="26"/>
        <v>0</v>
      </c>
      <c r="L69" s="4" t="str">
        <f t="shared" si="27"/>
        <v/>
      </c>
      <c r="M69" s="4">
        <f t="shared" ca="1" si="28"/>
        <v>0</v>
      </c>
      <c r="N69" s="4">
        <f t="shared" ca="1" si="29"/>
        <v>0</v>
      </c>
      <c r="O69" s="4">
        <f t="shared" ca="1" si="30"/>
        <v>0</v>
      </c>
      <c r="P69" s="4" t="str">
        <f t="shared" si="17"/>
        <v/>
      </c>
      <c r="Q69" s="4" t="str">
        <f t="shared" si="18"/>
        <v/>
      </c>
    </row>
    <row r="70" spans="1:17" x14ac:dyDescent="0.2">
      <c r="A70">
        <f t="shared" si="15"/>
        <v>65</v>
      </c>
      <c r="B70" t="str">
        <f t="shared" ref="B70:B105" si="31">IF(A70&lt;=_Lebensdauer,A70,"")</f>
        <v/>
      </c>
      <c r="C70" s="3">
        <f t="shared" ref="C70:C101" si="32">IF(ISNUMBER(B70),$C$5-B70*_Degradation_pro_Jahr_Standard,0)</f>
        <v>0</v>
      </c>
      <c r="D70" s="4">
        <f t="shared" ref="D70:D101" ca="1" si="33">_Ertrag_g.Min.*C70/100</f>
        <v>0</v>
      </c>
      <c r="E70" s="4" cm="1">
        <f t="array" aca="1" ref="E70" ca="1">D70*_ENG_Rechenwert_g.Min./100</f>
        <v>0</v>
      </c>
      <c r="F70" s="4">
        <f t="shared" ref="F70:F101" ca="1" si="34">(D70-E70)*_Tarif_Rücklieferung/100</f>
        <v>0</v>
      </c>
      <c r="G70" s="4">
        <f t="shared" ref="G70:G101" si="35">IF(_MWSt_pflichtig,F70*_MWSt_Satz/100,0)</f>
        <v>0</v>
      </c>
      <c r="H70" s="4">
        <f t="shared" ref="H70:H105" ca="1" si="36">E70*_Tarif_Bezug/100</f>
        <v>0</v>
      </c>
      <c r="I70" s="4">
        <f t="shared" ref="I70:I105" si="37">IF(_EIV_t_auszahlung=B70,-_EIV_g.Min._Rechenwert,0)+IF(_EF_t=B70,-_EF_g.Min._Rechenwert,0)</f>
        <v>0</v>
      </c>
      <c r="J70" s="4">
        <f t="shared" ref="J70:J105" ca="1" si="38">-D70*_Tarif_Unterhalt_Rechenwert_g.Min./100</f>
        <v>0</v>
      </c>
      <c r="K70" s="4">
        <f t="shared" ref="K70:K101" si="39">IF(_MWSt_pflichtig,J70*_MWSt_Satz/100,0)</f>
        <v>0</v>
      </c>
      <c r="L70" s="4" t="str">
        <f t="shared" ref="L70:L105" si="40">IF(B70&lt;=_Lebensdauer,PMT(_Kap_Verzinsung/100,_Lebensdauer,_Investitionskosten_g.Min.),"")</f>
        <v/>
      </c>
      <c r="M70" s="4">
        <f t="shared" ref="M70:M101" ca="1" si="41">SUM(F70:L70)</f>
        <v>0</v>
      </c>
      <c r="N70" s="4">
        <f t="shared" ref="N70:N101" ca="1" si="42">N69+M70</f>
        <v>0</v>
      </c>
      <c r="O70" s="4">
        <f t="shared" ref="O70:O101" ca="1" si="43">IF(AND(N69&lt;0,N70&gt;=0),B70,0)</f>
        <v>0</v>
      </c>
      <c r="P70" s="4" t="str">
        <f t="shared" si="17"/>
        <v/>
      </c>
      <c r="Q70" s="4" t="str">
        <f t="shared" si="18"/>
        <v/>
      </c>
    </row>
    <row r="71" spans="1:17" x14ac:dyDescent="0.2">
      <c r="A71">
        <f t="shared" ref="A71:A105" si="44">A70+1</f>
        <v>66</v>
      </c>
      <c r="B71" t="str">
        <f t="shared" si="31"/>
        <v/>
      </c>
      <c r="C71" s="3">
        <f t="shared" si="32"/>
        <v>0</v>
      </c>
      <c r="D71" s="4">
        <f t="shared" ca="1" si="33"/>
        <v>0</v>
      </c>
      <c r="E71" s="4" cm="1">
        <f t="array" aca="1" ref="E71" ca="1">D71*_ENG_Rechenwert_g.Min./100</f>
        <v>0</v>
      </c>
      <c r="F71" s="4">
        <f t="shared" ca="1" si="34"/>
        <v>0</v>
      </c>
      <c r="G71" s="4">
        <f t="shared" si="35"/>
        <v>0</v>
      </c>
      <c r="H71" s="4">
        <f t="shared" ca="1" si="36"/>
        <v>0</v>
      </c>
      <c r="I71" s="4">
        <f t="shared" si="37"/>
        <v>0</v>
      </c>
      <c r="J71" s="4">
        <f t="shared" ca="1" si="38"/>
        <v>0</v>
      </c>
      <c r="K71" s="4">
        <f t="shared" si="39"/>
        <v>0</v>
      </c>
      <c r="L71" s="4" t="str">
        <f t="shared" si="40"/>
        <v/>
      </c>
      <c r="M71" s="4">
        <f t="shared" ca="1" si="41"/>
        <v>0</v>
      </c>
      <c r="N71" s="4">
        <f t="shared" ca="1" si="42"/>
        <v>0</v>
      </c>
      <c r="O71" s="4">
        <f t="shared" ca="1" si="43"/>
        <v>0</v>
      </c>
      <c r="P71" s="4" t="str">
        <f t="shared" si="17"/>
        <v/>
      </c>
      <c r="Q71" s="4" t="str">
        <f t="shared" si="18"/>
        <v/>
      </c>
    </row>
    <row r="72" spans="1:17" x14ac:dyDescent="0.2">
      <c r="A72">
        <f t="shared" si="44"/>
        <v>67</v>
      </c>
      <c r="B72" t="str">
        <f t="shared" si="31"/>
        <v/>
      </c>
      <c r="C72" s="3">
        <f t="shared" si="32"/>
        <v>0</v>
      </c>
      <c r="D72" s="4">
        <f t="shared" ca="1" si="33"/>
        <v>0</v>
      </c>
      <c r="E72" s="4" cm="1">
        <f t="array" aca="1" ref="E72" ca="1">D72*_ENG_Rechenwert_g.Min./100</f>
        <v>0</v>
      </c>
      <c r="F72" s="4">
        <f t="shared" ca="1" si="34"/>
        <v>0</v>
      </c>
      <c r="G72" s="4">
        <f t="shared" si="35"/>
        <v>0</v>
      </c>
      <c r="H72" s="4">
        <f t="shared" ca="1" si="36"/>
        <v>0</v>
      </c>
      <c r="I72" s="4">
        <f t="shared" si="37"/>
        <v>0</v>
      </c>
      <c r="J72" s="4">
        <f t="shared" ca="1" si="38"/>
        <v>0</v>
      </c>
      <c r="K72" s="4">
        <f t="shared" si="39"/>
        <v>0</v>
      </c>
      <c r="L72" s="4" t="str">
        <f t="shared" si="40"/>
        <v/>
      </c>
      <c r="M72" s="4">
        <f t="shared" ca="1" si="41"/>
        <v>0</v>
      </c>
      <c r="N72" s="4">
        <f t="shared" ca="1" si="42"/>
        <v>0</v>
      </c>
      <c r="O72" s="4">
        <f t="shared" ca="1" si="43"/>
        <v>0</v>
      </c>
      <c r="P72" s="4" t="str">
        <f t="shared" si="17"/>
        <v/>
      </c>
      <c r="Q72" s="4" t="str">
        <f t="shared" si="18"/>
        <v/>
      </c>
    </row>
    <row r="73" spans="1:17" x14ac:dyDescent="0.2">
      <c r="A73">
        <f t="shared" si="44"/>
        <v>68</v>
      </c>
      <c r="B73" t="str">
        <f t="shared" si="31"/>
        <v/>
      </c>
      <c r="C73" s="3">
        <f t="shared" si="32"/>
        <v>0</v>
      </c>
      <c r="D73" s="4">
        <f t="shared" ca="1" si="33"/>
        <v>0</v>
      </c>
      <c r="E73" s="4" cm="1">
        <f t="array" aca="1" ref="E73" ca="1">D73*_ENG_Rechenwert_g.Min./100</f>
        <v>0</v>
      </c>
      <c r="F73" s="4">
        <f t="shared" ca="1" si="34"/>
        <v>0</v>
      </c>
      <c r="G73" s="4">
        <f t="shared" si="35"/>
        <v>0</v>
      </c>
      <c r="H73" s="4">
        <f t="shared" ca="1" si="36"/>
        <v>0</v>
      </c>
      <c r="I73" s="4">
        <f t="shared" si="37"/>
        <v>0</v>
      </c>
      <c r="J73" s="4">
        <f t="shared" ca="1" si="38"/>
        <v>0</v>
      </c>
      <c r="K73" s="4">
        <f t="shared" si="39"/>
        <v>0</v>
      </c>
      <c r="L73" s="4" t="str">
        <f t="shared" si="40"/>
        <v/>
      </c>
      <c r="M73" s="4">
        <f t="shared" ca="1" si="41"/>
        <v>0</v>
      </c>
      <c r="N73" s="4">
        <f t="shared" ca="1" si="42"/>
        <v>0</v>
      </c>
      <c r="O73" s="4">
        <f t="shared" ca="1" si="43"/>
        <v>0</v>
      </c>
      <c r="P73" s="4" t="str">
        <f t="shared" si="17"/>
        <v/>
      </c>
      <c r="Q73" s="4" t="str">
        <f t="shared" si="18"/>
        <v/>
      </c>
    </row>
    <row r="74" spans="1:17" x14ac:dyDescent="0.2">
      <c r="A74">
        <f t="shared" si="44"/>
        <v>69</v>
      </c>
      <c r="B74" t="str">
        <f t="shared" si="31"/>
        <v/>
      </c>
      <c r="C74" s="3">
        <f t="shared" si="32"/>
        <v>0</v>
      </c>
      <c r="D74" s="4">
        <f t="shared" ca="1" si="33"/>
        <v>0</v>
      </c>
      <c r="E74" s="4" cm="1">
        <f t="array" aca="1" ref="E74" ca="1">D74*_ENG_Rechenwert_g.Min./100</f>
        <v>0</v>
      </c>
      <c r="F74" s="4">
        <f t="shared" ca="1" si="34"/>
        <v>0</v>
      </c>
      <c r="G74" s="4">
        <f t="shared" si="35"/>
        <v>0</v>
      </c>
      <c r="H74" s="4">
        <f t="shared" ca="1" si="36"/>
        <v>0</v>
      </c>
      <c r="I74" s="4">
        <f t="shared" si="37"/>
        <v>0</v>
      </c>
      <c r="J74" s="4">
        <f t="shared" ca="1" si="38"/>
        <v>0</v>
      </c>
      <c r="K74" s="4">
        <f t="shared" si="39"/>
        <v>0</v>
      </c>
      <c r="L74" s="4" t="str">
        <f t="shared" si="40"/>
        <v/>
      </c>
      <c r="M74" s="4">
        <f t="shared" ca="1" si="41"/>
        <v>0</v>
      </c>
      <c r="N74" s="4">
        <f t="shared" ca="1" si="42"/>
        <v>0</v>
      </c>
      <c r="O74" s="4">
        <f t="shared" ca="1" si="43"/>
        <v>0</v>
      </c>
      <c r="P74" s="4" t="str">
        <f t="shared" si="17"/>
        <v/>
      </c>
      <c r="Q74" s="4" t="str">
        <f t="shared" si="18"/>
        <v/>
      </c>
    </row>
    <row r="75" spans="1:17" x14ac:dyDescent="0.2">
      <c r="A75">
        <f t="shared" si="44"/>
        <v>70</v>
      </c>
      <c r="B75" t="str">
        <f t="shared" si="31"/>
        <v/>
      </c>
      <c r="C75" s="3">
        <f t="shared" si="32"/>
        <v>0</v>
      </c>
      <c r="D75" s="4">
        <f t="shared" ca="1" si="33"/>
        <v>0</v>
      </c>
      <c r="E75" s="4" cm="1">
        <f t="array" aca="1" ref="E75" ca="1">D75*_ENG_Rechenwert_g.Min./100</f>
        <v>0</v>
      </c>
      <c r="F75" s="4">
        <f t="shared" ca="1" si="34"/>
        <v>0</v>
      </c>
      <c r="G75" s="4">
        <f t="shared" si="35"/>
        <v>0</v>
      </c>
      <c r="H75" s="4">
        <f t="shared" ca="1" si="36"/>
        <v>0</v>
      </c>
      <c r="I75" s="4">
        <f t="shared" si="37"/>
        <v>0</v>
      </c>
      <c r="J75" s="4">
        <f t="shared" ca="1" si="38"/>
        <v>0</v>
      </c>
      <c r="K75" s="4">
        <f t="shared" si="39"/>
        <v>0</v>
      </c>
      <c r="L75" s="4" t="str">
        <f t="shared" si="40"/>
        <v/>
      </c>
      <c r="M75" s="4">
        <f t="shared" ca="1" si="41"/>
        <v>0</v>
      </c>
      <c r="N75" s="4">
        <f t="shared" ca="1" si="42"/>
        <v>0</v>
      </c>
      <c r="O75" s="4">
        <f t="shared" ca="1" si="43"/>
        <v>0</v>
      </c>
      <c r="P75" s="4" t="str">
        <f t="shared" si="17"/>
        <v/>
      </c>
      <c r="Q75" s="4" t="str">
        <f t="shared" si="18"/>
        <v/>
      </c>
    </row>
    <row r="76" spans="1:17" x14ac:dyDescent="0.2">
      <c r="A76">
        <f t="shared" si="44"/>
        <v>71</v>
      </c>
      <c r="B76" t="str">
        <f t="shared" si="31"/>
        <v/>
      </c>
      <c r="C76" s="3">
        <f t="shared" si="32"/>
        <v>0</v>
      </c>
      <c r="D76" s="4">
        <f t="shared" ca="1" si="33"/>
        <v>0</v>
      </c>
      <c r="E76" s="4" cm="1">
        <f t="array" aca="1" ref="E76" ca="1">D76*_ENG_Rechenwert_g.Min./100</f>
        <v>0</v>
      </c>
      <c r="F76" s="4">
        <f t="shared" ca="1" si="34"/>
        <v>0</v>
      </c>
      <c r="G76" s="4">
        <f t="shared" si="35"/>
        <v>0</v>
      </c>
      <c r="H76" s="4">
        <f t="shared" ca="1" si="36"/>
        <v>0</v>
      </c>
      <c r="I76" s="4">
        <f t="shared" si="37"/>
        <v>0</v>
      </c>
      <c r="J76" s="4">
        <f t="shared" ca="1" si="38"/>
        <v>0</v>
      </c>
      <c r="K76" s="4">
        <f t="shared" si="39"/>
        <v>0</v>
      </c>
      <c r="L76" s="4" t="str">
        <f t="shared" si="40"/>
        <v/>
      </c>
      <c r="M76" s="4">
        <f t="shared" ca="1" si="41"/>
        <v>0</v>
      </c>
      <c r="N76" s="4">
        <f t="shared" ca="1" si="42"/>
        <v>0</v>
      </c>
      <c r="O76" s="4">
        <f t="shared" ca="1" si="43"/>
        <v>0</v>
      </c>
      <c r="P76" s="4" t="str">
        <f t="shared" si="17"/>
        <v/>
      </c>
      <c r="Q76" s="4" t="str">
        <f t="shared" si="18"/>
        <v/>
      </c>
    </row>
    <row r="77" spans="1:17" x14ac:dyDescent="0.2">
      <c r="A77">
        <f t="shared" si="44"/>
        <v>72</v>
      </c>
      <c r="B77" t="str">
        <f t="shared" si="31"/>
        <v/>
      </c>
      <c r="C77" s="3">
        <f t="shared" si="32"/>
        <v>0</v>
      </c>
      <c r="D77" s="4">
        <f t="shared" ca="1" si="33"/>
        <v>0</v>
      </c>
      <c r="E77" s="4" cm="1">
        <f t="array" aca="1" ref="E77" ca="1">D77*_ENG_Rechenwert_g.Min./100</f>
        <v>0</v>
      </c>
      <c r="F77" s="4">
        <f t="shared" ca="1" si="34"/>
        <v>0</v>
      </c>
      <c r="G77" s="4">
        <f t="shared" si="35"/>
        <v>0</v>
      </c>
      <c r="H77" s="4">
        <f t="shared" ca="1" si="36"/>
        <v>0</v>
      </c>
      <c r="I77" s="4">
        <f t="shared" si="37"/>
        <v>0</v>
      </c>
      <c r="J77" s="4">
        <f t="shared" ca="1" si="38"/>
        <v>0</v>
      </c>
      <c r="K77" s="4">
        <f t="shared" si="39"/>
        <v>0</v>
      </c>
      <c r="L77" s="4" t="str">
        <f t="shared" si="40"/>
        <v/>
      </c>
      <c r="M77" s="4">
        <f t="shared" ca="1" si="41"/>
        <v>0</v>
      </c>
      <c r="N77" s="4">
        <f t="shared" ca="1" si="42"/>
        <v>0</v>
      </c>
      <c r="O77" s="4">
        <f t="shared" ca="1" si="43"/>
        <v>0</v>
      </c>
      <c r="P77" s="4" t="str">
        <f t="shared" si="17"/>
        <v/>
      </c>
      <c r="Q77" s="4" t="str">
        <f t="shared" si="18"/>
        <v/>
      </c>
    </row>
    <row r="78" spans="1:17" x14ac:dyDescent="0.2">
      <c r="A78">
        <f t="shared" si="44"/>
        <v>73</v>
      </c>
      <c r="B78" t="str">
        <f t="shared" si="31"/>
        <v/>
      </c>
      <c r="C78" s="3">
        <f t="shared" si="32"/>
        <v>0</v>
      </c>
      <c r="D78" s="4">
        <f t="shared" ca="1" si="33"/>
        <v>0</v>
      </c>
      <c r="E78" s="4" cm="1">
        <f t="array" aca="1" ref="E78" ca="1">D78*_ENG_Rechenwert_g.Min./100</f>
        <v>0</v>
      </c>
      <c r="F78" s="4">
        <f t="shared" ca="1" si="34"/>
        <v>0</v>
      </c>
      <c r="G78" s="4">
        <f t="shared" si="35"/>
        <v>0</v>
      </c>
      <c r="H78" s="4">
        <f t="shared" ca="1" si="36"/>
        <v>0</v>
      </c>
      <c r="I78" s="4">
        <f t="shared" si="37"/>
        <v>0</v>
      </c>
      <c r="J78" s="4">
        <f t="shared" ca="1" si="38"/>
        <v>0</v>
      </c>
      <c r="K78" s="4">
        <f t="shared" si="39"/>
        <v>0</v>
      </c>
      <c r="L78" s="4" t="str">
        <f t="shared" si="40"/>
        <v/>
      </c>
      <c r="M78" s="4">
        <f t="shared" ca="1" si="41"/>
        <v>0</v>
      </c>
      <c r="N78" s="4">
        <f t="shared" ca="1" si="42"/>
        <v>0</v>
      </c>
      <c r="O78" s="4">
        <f t="shared" ca="1" si="43"/>
        <v>0</v>
      </c>
      <c r="P78" s="4" t="str">
        <f t="shared" si="17"/>
        <v/>
      </c>
      <c r="Q78" s="4" t="str">
        <f t="shared" si="18"/>
        <v/>
      </c>
    </row>
    <row r="79" spans="1:17" x14ac:dyDescent="0.2">
      <c r="A79">
        <f t="shared" si="44"/>
        <v>74</v>
      </c>
      <c r="B79" t="str">
        <f t="shared" si="31"/>
        <v/>
      </c>
      <c r="C79" s="3">
        <f t="shared" si="32"/>
        <v>0</v>
      </c>
      <c r="D79" s="4">
        <f t="shared" ca="1" si="33"/>
        <v>0</v>
      </c>
      <c r="E79" s="4" cm="1">
        <f t="array" aca="1" ref="E79" ca="1">D79*_ENG_Rechenwert_g.Min./100</f>
        <v>0</v>
      </c>
      <c r="F79" s="4">
        <f t="shared" ca="1" si="34"/>
        <v>0</v>
      </c>
      <c r="G79" s="4">
        <f t="shared" si="35"/>
        <v>0</v>
      </c>
      <c r="H79" s="4">
        <f t="shared" ca="1" si="36"/>
        <v>0</v>
      </c>
      <c r="I79" s="4">
        <f t="shared" si="37"/>
        <v>0</v>
      </c>
      <c r="J79" s="4">
        <f t="shared" ca="1" si="38"/>
        <v>0</v>
      </c>
      <c r="K79" s="4">
        <f t="shared" si="39"/>
        <v>0</v>
      </c>
      <c r="L79" s="4" t="str">
        <f t="shared" si="40"/>
        <v/>
      </c>
      <c r="M79" s="4">
        <f t="shared" ca="1" si="41"/>
        <v>0</v>
      </c>
      <c r="N79" s="4">
        <f t="shared" ca="1" si="42"/>
        <v>0</v>
      </c>
      <c r="O79" s="4">
        <f t="shared" ca="1" si="43"/>
        <v>0</v>
      </c>
      <c r="P79" s="4" t="str">
        <f t="shared" si="17"/>
        <v/>
      </c>
      <c r="Q79" s="4" t="str">
        <f t="shared" si="18"/>
        <v/>
      </c>
    </row>
    <row r="80" spans="1:17" x14ac:dyDescent="0.2">
      <c r="A80">
        <f t="shared" si="44"/>
        <v>75</v>
      </c>
      <c r="B80" t="str">
        <f t="shared" si="31"/>
        <v/>
      </c>
      <c r="C80" s="3">
        <f t="shared" si="32"/>
        <v>0</v>
      </c>
      <c r="D80" s="4">
        <f t="shared" ca="1" si="33"/>
        <v>0</v>
      </c>
      <c r="E80" s="4" cm="1">
        <f t="array" aca="1" ref="E80" ca="1">D80*_ENG_Rechenwert_g.Min./100</f>
        <v>0</v>
      </c>
      <c r="F80" s="4">
        <f t="shared" ca="1" si="34"/>
        <v>0</v>
      </c>
      <c r="G80" s="4">
        <f t="shared" si="35"/>
        <v>0</v>
      </c>
      <c r="H80" s="4">
        <f t="shared" ca="1" si="36"/>
        <v>0</v>
      </c>
      <c r="I80" s="4">
        <f t="shared" si="37"/>
        <v>0</v>
      </c>
      <c r="J80" s="4">
        <f t="shared" ca="1" si="38"/>
        <v>0</v>
      </c>
      <c r="K80" s="4">
        <f t="shared" si="39"/>
        <v>0</v>
      </c>
      <c r="L80" s="4" t="str">
        <f t="shared" si="40"/>
        <v/>
      </c>
      <c r="M80" s="4">
        <f t="shared" ca="1" si="41"/>
        <v>0</v>
      </c>
      <c r="N80" s="4">
        <f t="shared" ca="1" si="42"/>
        <v>0</v>
      </c>
      <c r="O80" s="4">
        <f t="shared" ca="1" si="43"/>
        <v>0</v>
      </c>
      <c r="P80" s="4" t="str">
        <f t="shared" si="17"/>
        <v/>
      </c>
      <c r="Q80" s="4" t="str">
        <f t="shared" si="18"/>
        <v/>
      </c>
    </row>
    <row r="81" spans="1:17" x14ac:dyDescent="0.2">
      <c r="A81">
        <f t="shared" si="44"/>
        <v>76</v>
      </c>
      <c r="B81" t="str">
        <f t="shared" si="31"/>
        <v/>
      </c>
      <c r="C81" s="3">
        <f t="shared" si="32"/>
        <v>0</v>
      </c>
      <c r="D81" s="4">
        <f t="shared" ca="1" si="33"/>
        <v>0</v>
      </c>
      <c r="E81" s="4" cm="1">
        <f t="array" aca="1" ref="E81" ca="1">D81*_ENG_Rechenwert_g.Min./100</f>
        <v>0</v>
      </c>
      <c r="F81" s="4">
        <f t="shared" ca="1" si="34"/>
        <v>0</v>
      </c>
      <c r="G81" s="4">
        <f t="shared" si="35"/>
        <v>0</v>
      </c>
      <c r="H81" s="4">
        <f t="shared" ca="1" si="36"/>
        <v>0</v>
      </c>
      <c r="I81" s="4">
        <f t="shared" si="37"/>
        <v>0</v>
      </c>
      <c r="J81" s="4">
        <f t="shared" ca="1" si="38"/>
        <v>0</v>
      </c>
      <c r="K81" s="4">
        <f t="shared" si="39"/>
        <v>0</v>
      </c>
      <c r="L81" s="4" t="str">
        <f t="shared" si="40"/>
        <v/>
      </c>
      <c r="M81" s="4">
        <f t="shared" ca="1" si="41"/>
        <v>0</v>
      </c>
      <c r="N81" s="4">
        <f t="shared" ca="1" si="42"/>
        <v>0</v>
      </c>
      <c r="O81" s="4">
        <f t="shared" ca="1" si="43"/>
        <v>0</v>
      </c>
      <c r="P81" s="4" t="str">
        <f t="shared" si="17"/>
        <v/>
      </c>
      <c r="Q81" s="4" t="str">
        <f t="shared" si="18"/>
        <v/>
      </c>
    </row>
    <row r="82" spans="1:17" x14ac:dyDescent="0.2">
      <c r="A82">
        <f t="shared" si="44"/>
        <v>77</v>
      </c>
      <c r="B82" t="str">
        <f t="shared" si="31"/>
        <v/>
      </c>
      <c r="C82" s="3">
        <f t="shared" si="32"/>
        <v>0</v>
      </c>
      <c r="D82" s="4">
        <f t="shared" ca="1" si="33"/>
        <v>0</v>
      </c>
      <c r="E82" s="4" cm="1">
        <f t="array" aca="1" ref="E82" ca="1">D82*_ENG_Rechenwert_g.Min./100</f>
        <v>0</v>
      </c>
      <c r="F82" s="4">
        <f t="shared" ca="1" si="34"/>
        <v>0</v>
      </c>
      <c r="G82" s="4">
        <f t="shared" si="35"/>
        <v>0</v>
      </c>
      <c r="H82" s="4">
        <f t="shared" ca="1" si="36"/>
        <v>0</v>
      </c>
      <c r="I82" s="4">
        <f t="shared" si="37"/>
        <v>0</v>
      </c>
      <c r="J82" s="4">
        <f t="shared" ca="1" si="38"/>
        <v>0</v>
      </c>
      <c r="K82" s="4">
        <f t="shared" si="39"/>
        <v>0</v>
      </c>
      <c r="L82" s="4" t="str">
        <f t="shared" si="40"/>
        <v/>
      </c>
      <c r="M82" s="4">
        <f t="shared" ca="1" si="41"/>
        <v>0</v>
      </c>
      <c r="N82" s="4">
        <f t="shared" ca="1" si="42"/>
        <v>0</v>
      </c>
      <c r="O82" s="4">
        <f t="shared" ca="1" si="43"/>
        <v>0</v>
      </c>
      <c r="P82" s="4" t="str">
        <f t="shared" si="17"/>
        <v/>
      </c>
      <c r="Q82" s="4" t="str">
        <f t="shared" si="18"/>
        <v/>
      </c>
    </row>
    <row r="83" spans="1:17" x14ac:dyDescent="0.2">
      <c r="A83">
        <f t="shared" si="44"/>
        <v>78</v>
      </c>
      <c r="B83" t="str">
        <f t="shared" si="31"/>
        <v/>
      </c>
      <c r="C83" s="3">
        <f t="shared" si="32"/>
        <v>0</v>
      </c>
      <c r="D83" s="4">
        <f t="shared" ca="1" si="33"/>
        <v>0</v>
      </c>
      <c r="E83" s="4" cm="1">
        <f t="array" aca="1" ref="E83" ca="1">D83*_ENG_Rechenwert_g.Min./100</f>
        <v>0</v>
      </c>
      <c r="F83" s="4">
        <f t="shared" ca="1" si="34"/>
        <v>0</v>
      </c>
      <c r="G83" s="4">
        <f t="shared" si="35"/>
        <v>0</v>
      </c>
      <c r="H83" s="4">
        <f t="shared" ca="1" si="36"/>
        <v>0</v>
      </c>
      <c r="I83" s="4">
        <f t="shared" si="37"/>
        <v>0</v>
      </c>
      <c r="J83" s="4">
        <f t="shared" ca="1" si="38"/>
        <v>0</v>
      </c>
      <c r="K83" s="4">
        <f t="shared" si="39"/>
        <v>0</v>
      </c>
      <c r="L83" s="4" t="str">
        <f t="shared" si="40"/>
        <v/>
      </c>
      <c r="M83" s="4">
        <f t="shared" ca="1" si="41"/>
        <v>0</v>
      </c>
      <c r="N83" s="4">
        <f t="shared" ca="1" si="42"/>
        <v>0</v>
      </c>
      <c r="O83" s="4">
        <f t="shared" ca="1" si="43"/>
        <v>0</v>
      </c>
      <c r="P83" s="4" t="str">
        <f t="shared" si="17"/>
        <v/>
      </c>
      <c r="Q83" s="4" t="str">
        <f t="shared" si="18"/>
        <v/>
      </c>
    </row>
    <row r="84" spans="1:17" x14ac:dyDescent="0.2">
      <c r="A84">
        <f t="shared" si="44"/>
        <v>79</v>
      </c>
      <c r="B84" t="str">
        <f t="shared" si="31"/>
        <v/>
      </c>
      <c r="C84" s="3">
        <f t="shared" si="32"/>
        <v>0</v>
      </c>
      <c r="D84" s="4">
        <f t="shared" ca="1" si="33"/>
        <v>0</v>
      </c>
      <c r="E84" s="4" cm="1">
        <f t="array" aca="1" ref="E84" ca="1">D84*_ENG_Rechenwert_g.Min./100</f>
        <v>0</v>
      </c>
      <c r="F84" s="4">
        <f t="shared" ca="1" si="34"/>
        <v>0</v>
      </c>
      <c r="G84" s="4">
        <f t="shared" si="35"/>
        <v>0</v>
      </c>
      <c r="H84" s="4">
        <f t="shared" ca="1" si="36"/>
        <v>0</v>
      </c>
      <c r="I84" s="4">
        <f t="shared" si="37"/>
        <v>0</v>
      </c>
      <c r="J84" s="4">
        <f t="shared" ca="1" si="38"/>
        <v>0</v>
      </c>
      <c r="K84" s="4">
        <f t="shared" si="39"/>
        <v>0</v>
      </c>
      <c r="L84" s="4" t="str">
        <f t="shared" si="40"/>
        <v/>
      </c>
      <c r="M84" s="4">
        <f t="shared" ca="1" si="41"/>
        <v>0</v>
      </c>
      <c r="N84" s="4">
        <f t="shared" ca="1" si="42"/>
        <v>0</v>
      </c>
      <c r="O84" s="4">
        <f t="shared" ca="1" si="43"/>
        <v>0</v>
      </c>
      <c r="P84" s="4" t="str">
        <f t="shared" si="17"/>
        <v/>
      </c>
      <c r="Q84" s="4" t="str">
        <f t="shared" si="18"/>
        <v/>
      </c>
    </row>
    <row r="85" spans="1:17" x14ac:dyDescent="0.2">
      <c r="A85">
        <f t="shared" si="44"/>
        <v>80</v>
      </c>
      <c r="B85" t="str">
        <f t="shared" si="31"/>
        <v/>
      </c>
      <c r="C85" s="3">
        <f t="shared" si="32"/>
        <v>0</v>
      </c>
      <c r="D85" s="4">
        <f t="shared" ca="1" si="33"/>
        <v>0</v>
      </c>
      <c r="E85" s="4" cm="1">
        <f t="array" aca="1" ref="E85" ca="1">D85*_ENG_Rechenwert_g.Min./100</f>
        <v>0</v>
      </c>
      <c r="F85" s="4">
        <f t="shared" ca="1" si="34"/>
        <v>0</v>
      </c>
      <c r="G85" s="4">
        <f t="shared" si="35"/>
        <v>0</v>
      </c>
      <c r="H85" s="4">
        <f t="shared" ca="1" si="36"/>
        <v>0</v>
      </c>
      <c r="I85" s="4">
        <f t="shared" si="37"/>
        <v>0</v>
      </c>
      <c r="J85" s="4">
        <f t="shared" ca="1" si="38"/>
        <v>0</v>
      </c>
      <c r="K85" s="4">
        <f t="shared" si="39"/>
        <v>0</v>
      </c>
      <c r="L85" s="4" t="str">
        <f t="shared" si="40"/>
        <v/>
      </c>
      <c r="M85" s="4">
        <f t="shared" ca="1" si="41"/>
        <v>0</v>
      </c>
      <c r="N85" s="4">
        <f t="shared" ca="1" si="42"/>
        <v>0</v>
      </c>
      <c r="O85" s="4">
        <f t="shared" ca="1" si="43"/>
        <v>0</v>
      </c>
      <c r="P85" s="4" t="str">
        <f t="shared" si="17"/>
        <v/>
      </c>
      <c r="Q85" s="4" t="str">
        <f t="shared" si="18"/>
        <v/>
      </c>
    </row>
    <row r="86" spans="1:17" x14ac:dyDescent="0.2">
      <c r="A86">
        <f t="shared" si="44"/>
        <v>81</v>
      </c>
      <c r="B86" t="str">
        <f t="shared" si="31"/>
        <v/>
      </c>
      <c r="C86" s="3">
        <f t="shared" si="32"/>
        <v>0</v>
      </c>
      <c r="D86" s="4">
        <f t="shared" ca="1" si="33"/>
        <v>0</v>
      </c>
      <c r="E86" s="4" cm="1">
        <f t="array" aca="1" ref="E86" ca="1">D86*_ENG_Rechenwert_g.Min./100</f>
        <v>0</v>
      </c>
      <c r="F86" s="4">
        <f t="shared" ca="1" si="34"/>
        <v>0</v>
      </c>
      <c r="G86" s="4">
        <f t="shared" si="35"/>
        <v>0</v>
      </c>
      <c r="H86" s="4">
        <f t="shared" ca="1" si="36"/>
        <v>0</v>
      </c>
      <c r="I86" s="4">
        <f t="shared" si="37"/>
        <v>0</v>
      </c>
      <c r="J86" s="4">
        <f t="shared" ca="1" si="38"/>
        <v>0</v>
      </c>
      <c r="K86" s="4">
        <f t="shared" si="39"/>
        <v>0</v>
      </c>
      <c r="L86" s="4" t="str">
        <f t="shared" si="40"/>
        <v/>
      </c>
      <c r="M86" s="4">
        <f t="shared" ca="1" si="41"/>
        <v>0</v>
      </c>
      <c r="N86" s="4">
        <f t="shared" ca="1" si="42"/>
        <v>0</v>
      </c>
      <c r="O86" s="4">
        <f t="shared" ca="1" si="43"/>
        <v>0</v>
      </c>
      <c r="P86" s="4" t="str">
        <f t="shared" si="17"/>
        <v/>
      </c>
      <c r="Q86" s="4" t="str">
        <f t="shared" si="18"/>
        <v/>
      </c>
    </row>
    <row r="87" spans="1:17" x14ac:dyDescent="0.2">
      <c r="A87">
        <f t="shared" si="44"/>
        <v>82</v>
      </c>
      <c r="B87" t="str">
        <f t="shared" si="31"/>
        <v/>
      </c>
      <c r="C87" s="3">
        <f t="shared" si="32"/>
        <v>0</v>
      </c>
      <c r="D87" s="4">
        <f t="shared" ca="1" si="33"/>
        <v>0</v>
      </c>
      <c r="E87" s="4" cm="1">
        <f t="array" aca="1" ref="E87" ca="1">D87*_ENG_Rechenwert_g.Min./100</f>
        <v>0</v>
      </c>
      <c r="F87" s="4">
        <f t="shared" ca="1" si="34"/>
        <v>0</v>
      </c>
      <c r="G87" s="4">
        <f t="shared" si="35"/>
        <v>0</v>
      </c>
      <c r="H87" s="4">
        <f t="shared" ca="1" si="36"/>
        <v>0</v>
      </c>
      <c r="I87" s="4">
        <f t="shared" si="37"/>
        <v>0</v>
      </c>
      <c r="J87" s="4">
        <f t="shared" ca="1" si="38"/>
        <v>0</v>
      </c>
      <c r="K87" s="4">
        <f t="shared" si="39"/>
        <v>0</v>
      </c>
      <c r="L87" s="4" t="str">
        <f t="shared" si="40"/>
        <v/>
      </c>
      <c r="M87" s="4">
        <f t="shared" ca="1" si="41"/>
        <v>0</v>
      </c>
      <c r="N87" s="4">
        <f t="shared" ca="1" si="42"/>
        <v>0</v>
      </c>
      <c r="O87" s="4">
        <f t="shared" ca="1" si="43"/>
        <v>0</v>
      </c>
      <c r="P87" s="4" t="str">
        <f t="shared" si="17"/>
        <v/>
      </c>
      <c r="Q87" s="4" t="str">
        <f t="shared" si="18"/>
        <v/>
      </c>
    </row>
    <row r="88" spans="1:17" x14ac:dyDescent="0.2">
      <c r="A88">
        <f t="shared" si="44"/>
        <v>83</v>
      </c>
      <c r="B88" t="str">
        <f t="shared" si="31"/>
        <v/>
      </c>
      <c r="C88" s="3">
        <f t="shared" si="32"/>
        <v>0</v>
      </c>
      <c r="D88" s="4">
        <f t="shared" ca="1" si="33"/>
        <v>0</v>
      </c>
      <c r="E88" s="4" cm="1">
        <f t="array" aca="1" ref="E88" ca="1">D88*_ENG_Rechenwert_g.Min./100</f>
        <v>0</v>
      </c>
      <c r="F88" s="4">
        <f t="shared" ca="1" si="34"/>
        <v>0</v>
      </c>
      <c r="G88" s="4">
        <f t="shared" si="35"/>
        <v>0</v>
      </c>
      <c r="H88" s="4">
        <f t="shared" ca="1" si="36"/>
        <v>0</v>
      </c>
      <c r="I88" s="4">
        <f t="shared" si="37"/>
        <v>0</v>
      </c>
      <c r="J88" s="4">
        <f t="shared" ca="1" si="38"/>
        <v>0</v>
      </c>
      <c r="K88" s="4">
        <f t="shared" si="39"/>
        <v>0</v>
      </c>
      <c r="L88" s="4" t="str">
        <f t="shared" si="40"/>
        <v/>
      </c>
      <c r="M88" s="4">
        <f t="shared" ca="1" si="41"/>
        <v>0</v>
      </c>
      <c r="N88" s="4">
        <f t="shared" ca="1" si="42"/>
        <v>0</v>
      </c>
      <c r="O88" s="4">
        <f t="shared" ca="1" si="43"/>
        <v>0</v>
      </c>
      <c r="P88" s="4" t="str">
        <f t="shared" si="17"/>
        <v/>
      </c>
      <c r="Q88" s="4" t="str">
        <f t="shared" si="18"/>
        <v/>
      </c>
    </row>
    <row r="89" spans="1:17" x14ac:dyDescent="0.2">
      <c r="A89">
        <f t="shared" si="44"/>
        <v>84</v>
      </c>
      <c r="B89" t="str">
        <f t="shared" si="31"/>
        <v/>
      </c>
      <c r="C89" s="3">
        <f t="shared" si="32"/>
        <v>0</v>
      </c>
      <c r="D89" s="4">
        <f t="shared" ca="1" si="33"/>
        <v>0</v>
      </c>
      <c r="E89" s="4" cm="1">
        <f t="array" aca="1" ref="E89" ca="1">D89*_ENG_Rechenwert_g.Min./100</f>
        <v>0</v>
      </c>
      <c r="F89" s="4">
        <f t="shared" ca="1" si="34"/>
        <v>0</v>
      </c>
      <c r="G89" s="4">
        <f t="shared" si="35"/>
        <v>0</v>
      </c>
      <c r="H89" s="4">
        <f t="shared" ca="1" si="36"/>
        <v>0</v>
      </c>
      <c r="I89" s="4">
        <f t="shared" si="37"/>
        <v>0</v>
      </c>
      <c r="J89" s="4">
        <f t="shared" ca="1" si="38"/>
        <v>0</v>
      </c>
      <c r="K89" s="4">
        <f t="shared" si="39"/>
        <v>0</v>
      </c>
      <c r="L89" s="4" t="str">
        <f t="shared" si="40"/>
        <v/>
      </c>
      <c r="M89" s="4">
        <f t="shared" ca="1" si="41"/>
        <v>0</v>
      </c>
      <c r="N89" s="4">
        <f t="shared" ca="1" si="42"/>
        <v>0</v>
      </c>
      <c r="O89" s="4">
        <f t="shared" ca="1" si="43"/>
        <v>0</v>
      </c>
      <c r="P89" s="4" t="str">
        <f t="shared" si="17"/>
        <v/>
      </c>
      <c r="Q89" s="4" t="str">
        <f t="shared" si="18"/>
        <v/>
      </c>
    </row>
    <row r="90" spans="1:17" x14ac:dyDescent="0.2">
      <c r="A90">
        <f t="shared" si="44"/>
        <v>85</v>
      </c>
      <c r="B90" t="str">
        <f t="shared" si="31"/>
        <v/>
      </c>
      <c r="C90" s="3">
        <f t="shared" si="32"/>
        <v>0</v>
      </c>
      <c r="D90" s="4">
        <f t="shared" ca="1" si="33"/>
        <v>0</v>
      </c>
      <c r="E90" s="4" cm="1">
        <f t="array" aca="1" ref="E90" ca="1">D90*_ENG_Rechenwert_g.Min./100</f>
        <v>0</v>
      </c>
      <c r="F90" s="4">
        <f t="shared" ca="1" si="34"/>
        <v>0</v>
      </c>
      <c r="G90" s="4">
        <f t="shared" si="35"/>
        <v>0</v>
      </c>
      <c r="H90" s="4">
        <f t="shared" ca="1" si="36"/>
        <v>0</v>
      </c>
      <c r="I90" s="4">
        <f t="shared" si="37"/>
        <v>0</v>
      </c>
      <c r="J90" s="4">
        <f t="shared" ca="1" si="38"/>
        <v>0</v>
      </c>
      <c r="K90" s="4">
        <f t="shared" si="39"/>
        <v>0</v>
      </c>
      <c r="L90" s="4" t="str">
        <f t="shared" si="40"/>
        <v/>
      </c>
      <c r="M90" s="4">
        <f t="shared" ca="1" si="41"/>
        <v>0</v>
      </c>
      <c r="N90" s="4">
        <f t="shared" ca="1" si="42"/>
        <v>0</v>
      </c>
      <c r="O90" s="4">
        <f t="shared" ca="1" si="43"/>
        <v>0</v>
      </c>
      <c r="P90" s="4" t="str">
        <f t="shared" si="17"/>
        <v/>
      </c>
      <c r="Q90" s="4" t="str">
        <f t="shared" si="18"/>
        <v/>
      </c>
    </row>
    <row r="91" spans="1:17" x14ac:dyDescent="0.2">
      <c r="A91">
        <f t="shared" si="44"/>
        <v>86</v>
      </c>
      <c r="B91" t="str">
        <f t="shared" si="31"/>
        <v/>
      </c>
      <c r="C91" s="3">
        <f t="shared" si="32"/>
        <v>0</v>
      </c>
      <c r="D91" s="4">
        <f t="shared" ca="1" si="33"/>
        <v>0</v>
      </c>
      <c r="E91" s="4" cm="1">
        <f t="array" aca="1" ref="E91" ca="1">D91*_ENG_Rechenwert_g.Min./100</f>
        <v>0</v>
      </c>
      <c r="F91" s="4">
        <f t="shared" ca="1" si="34"/>
        <v>0</v>
      </c>
      <c r="G91" s="4">
        <f t="shared" si="35"/>
        <v>0</v>
      </c>
      <c r="H91" s="4">
        <f t="shared" ca="1" si="36"/>
        <v>0</v>
      </c>
      <c r="I91" s="4">
        <f t="shared" si="37"/>
        <v>0</v>
      </c>
      <c r="J91" s="4">
        <f t="shared" ca="1" si="38"/>
        <v>0</v>
      </c>
      <c r="K91" s="4">
        <f t="shared" si="39"/>
        <v>0</v>
      </c>
      <c r="L91" s="4" t="str">
        <f t="shared" si="40"/>
        <v/>
      </c>
      <c r="M91" s="4">
        <f t="shared" ca="1" si="41"/>
        <v>0</v>
      </c>
      <c r="N91" s="4">
        <f t="shared" ca="1" si="42"/>
        <v>0</v>
      </c>
      <c r="O91" s="4">
        <f t="shared" ca="1" si="43"/>
        <v>0</v>
      </c>
      <c r="P91" s="4" t="str">
        <f t="shared" si="17"/>
        <v/>
      </c>
      <c r="Q91" s="4" t="str">
        <f t="shared" si="18"/>
        <v/>
      </c>
    </row>
    <row r="92" spans="1:17" x14ac:dyDescent="0.2">
      <c r="A92">
        <f t="shared" si="44"/>
        <v>87</v>
      </c>
      <c r="B92" t="str">
        <f t="shared" si="31"/>
        <v/>
      </c>
      <c r="C92" s="3">
        <f t="shared" si="32"/>
        <v>0</v>
      </c>
      <c r="D92" s="4">
        <f t="shared" ca="1" si="33"/>
        <v>0</v>
      </c>
      <c r="E92" s="4" cm="1">
        <f t="array" aca="1" ref="E92" ca="1">D92*_ENG_Rechenwert_g.Min./100</f>
        <v>0</v>
      </c>
      <c r="F92" s="4">
        <f t="shared" ca="1" si="34"/>
        <v>0</v>
      </c>
      <c r="G92" s="4">
        <f t="shared" si="35"/>
        <v>0</v>
      </c>
      <c r="H92" s="4">
        <f t="shared" ca="1" si="36"/>
        <v>0</v>
      </c>
      <c r="I92" s="4">
        <f t="shared" si="37"/>
        <v>0</v>
      </c>
      <c r="J92" s="4">
        <f t="shared" ca="1" si="38"/>
        <v>0</v>
      </c>
      <c r="K92" s="4">
        <f t="shared" si="39"/>
        <v>0</v>
      </c>
      <c r="L92" s="4" t="str">
        <f t="shared" si="40"/>
        <v/>
      </c>
      <c r="M92" s="4">
        <f t="shared" ca="1" si="41"/>
        <v>0</v>
      </c>
      <c r="N92" s="4">
        <f t="shared" ca="1" si="42"/>
        <v>0</v>
      </c>
      <c r="O92" s="4">
        <f t="shared" ca="1" si="43"/>
        <v>0</v>
      </c>
      <c r="P92" s="4" t="str">
        <f t="shared" si="17"/>
        <v/>
      </c>
      <c r="Q92" s="4" t="str">
        <f t="shared" si="18"/>
        <v/>
      </c>
    </row>
    <row r="93" spans="1:17" x14ac:dyDescent="0.2">
      <c r="A93">
        <f t="shared" si="44"/>
        <v>88</v>
      </c>
      <c r="B93" t="str">
        <f t="shared" si="31"/>
        <v/>
      </c>
      <c r="C93" s="3">
        <f t="shared" si="32"/>
        <v>0</v>
      </c>
      <c r="D93" s="4">
        <f t="shared" ca="1" si="33"/>
        <v>0</v>
      </c>
      <c r="E93" s="4" cm="1">
        <f t="array" aca="1" ref="E93" ca="1">D93*_ENG_Rechenwert_g.Min./100</f>
        <v>0</v>
      </c>
      <c r="F93" s="4">
        <f t="shared" ca="1" si="34"/>
        <v>0</v>
      </c>
      <c r="G93" s="4">
        <f t="shared" si="35"/>
        <v>0</v>
      </c>
      <c r="H93" s="4">
        <f t="shared" ca="1" si="36"/>
        <v>0</v>
      </c>
      <c r="I93" s="4">
        <f t="shared" si="37"/>
        <v>0</v>
      </c>
      <c r="J93" s="4">
        <f t="shared" ca="1" si="38"/>
        <v>0</v>
      </c>
      <c r="K93" s="4">
        <f t="shared" si="39"/>
        <v>0</v>
      </c>
      <c r="L93" s="4" t="str">
        <f t="shared" si="40"/>
        <v/>
      </c>
      <c r="M93" s="4">
        <f t="shared" ca="1" si="41"/>
        <v>0</v>
      </c>
      <c r="N93" s="4">
        <f t="shared" ca="1" si="42"/>
        <v>0</v>
      </c>
      <c r="O93" s="4">
        <f t="shared" ca="1" si="43"/>
        <v>0</v>
      </c>
      <c r="P93" s="4" t="str">
        <f t="shared" si="17"/>
        <v/>
      </c>
      <c r="Q93" s="4" t="str">
        <f t="shared" si="18"/>
        <v/>
      </c>
    </row>
    <row r="94" spans="1:17" x14ac:dyDescent="0.2">
      <c r="A94">
        <f t="shared" si="44"/>
        <v>89</v>
      </c>
      <c r="B94" t="str">
        <f t="shared" si="31"/>
        <v/>
      </c>
      <c r="C94" s="3">
        <f t="shared" si="32"/>
        <v>0</v>
      </c>
      <c r="D94" s="4">
        <f t="shared" ca="1" si="33"/>
        <v>0</v>
      </c>
      <c r="E94" s="4" cm="1">
        <f t="array" aca="1" ref="E94" ca="1">D94*_ENG_Rechenwert_g.Min./100</f>
        <v>0</v>
      </c>
      <c r="F94" s="4">
        <f t="shared" ca="1" si="34"/>
        <v>0</v>
      </c>
      <c r="G94" s="4">
        <f t="shared" si="35"/>
        <v>0</v>
      </c>
      <c r="H94" s="4">
        <f t="shared" ca="1" si="36"/>
        <v>0</v>
      </c>
      <c r="I94" s="4">
        <f t="shared" si="37"/>
        <v>0</v>
      </c>
      <c r="J94" s="4">
        <f t="shared" ca="1" si="38"/>
        <v>0</v>
      </c>
      <c r="K94" s="4">
        <f t="shared" si="39"/>
        <v>0</v>
      </c>
      <c r="L94" s="4" t="str">
        <f t="shared" si="40"/>
        <v/>
      </c>
      <c r="M94" s="4">
        <f t="shared" ca="1" si="41"/>
        <v>0</v>
      </c>
      <c r="N94" s="4">
        <f t="shared" ca="1" si="42"/>
        <v>0</v>
      </c>
      <c r="O94" s="4">
        <f t="shared" ca="1" si="43"/>
        <v>0</v>
      </c>
      <c r="P94" s="4" t="str">
        <f t="shared" si="17"/>
        <v/>
      </c>
      <c r="Q94" s="4" t="str">
        <f t="shared" si="18"/>
        <v/>
      </c>
    </row>
    <row r="95" spans="1:17" x14ac:dyDescent="0.2">
      <c r="A95">
        <f t="shared" si="44"/>
        <v>90</v>
      </c>
      <c r="B95" t="str">
        <f t="shared" si="31"/>
        <v/>
      </c>
      <c r="C95" s="3">
        <f t="shared" si="32"/>
        <v>0</v>
      </c>
      <c r="D95" s="4">
        <f t="shared" ca="1" si="33"/>
        <v>0</v>
      </c>
      <c r="E95" s="4" cm="1">
        <f t="array" aca="1" ref="E95" ca="1">D95*_ENG_Rechenwert_g.Min./100</f>
        <v>0</v>
      </c>
      <c r="F95" s="4">
        <f t="shared" ca="1" si="34"/>
        <v>0</v>
      </c>
      <c r="G95" s="4">
        <f t="shared" si="35"/>
        <v>0</v>
      </c>
      <c r="H95" s="4">
        <f t="shared" ca="1" si="36"/>
        <v>0</v>
      </c>
      <c r="I95" s="4">
        <f t="shared" si="37"/>
        <v>0</v>
      </c>
      <c r="J95" s="4">
        <f t="shared" ca="1" si="38"/>
        <v>0</v>
      </c>
      <c r="K95" s="4">
        <f t="shared" si="39"/>
        <v>0</v>
      </c>
      <c r="L95" s="4" t="str">
        <f t="shared" si="40"/>
        <v/>
      </c>
      <c r="M95" s="4">
        <f t="shared" ca="1" si="41"/>
        <v>0</v>
      </c>
      <c r="N95" s="4">
        <f t="shared" ca="1" si="42"/>
        <v>0</v>
      </c>
      <c r="O95" s="4">
        <f t="shared" ca="1" si="43"/>
        <v>0</v>
      </c>
      <c r="P95" s="4" t="str">
        <f t="shared" si="17"/>
        <v/>
      </c>
      <c r="Q95" s="4" t="str">
        <f t="shared" si="18"/>
        <v/>
      </c>
    </row>
    <row r="96" spans="1:17" x14ac:dyDescent="0.2">
      <c r="A96">
        <f t="shared" si="44"/>
        <v>91</v>
      </c>
      <c r="B96" t="str">
        <f t="shared" si="31"/>
        <v/>
      </c>
      <c r="C96" s="3">
        <f t="shared" si="32"/>
        <v>0</v>
      </c>
      <c r="D96" s="4">
        <f t="shared" ca="1" si="33"/>
        <v>0</v>
      </c>
      <c r="E96" s="4" cm="1">
        <f t="array" aca="1" ref="E96" ca="1">D96*_ENG_Rechenwert_g.Min./100</f>
        <v>0</v>
      </c>
      <c r="F96" s="4">
        <f t="shared" ca="1" si="34"/>
        <v>0</v>
      </c>
      <c r="G96" s="4">
        <f t="shared" si="35"/>
        <v>0</v>
      </c>
      <c r="H96" s="4">
        <f t="shared" ca="1" si="36"/>
        <v>0</v>
      </c>
      <c r="I96" s="4">
        <f t="shared" si="37"/>
        <v>0</v>
      </c>
      <c r="J96" s="4">
        <f t="shared" ca="1" si="38"/>
        <v>0</v>
      </c>
      <c r="K96" s="4">
        <f t="shared" si="39"/>
        <v>0</v>
      </c>
      <c r="L96" s="4" t="str">
        <f t="shared" si="40"/>
        <v/>
      </c>
      <c r="M96" s="4">
        <f t="shared" ca="1" si="41"/>
        <v>0</v>
      </c>
      <c r="N96" s="4">
        <f t="shared" ca="1" si="42"/>
        <v>0</v>
      </c>
      <c r="O96" s="4">
        <f t="shared" ca="1" si="43"/>
        <v>0</v>
      </c>
      <c r="P96" s="4" t="str">
        <f t="shared" si="17"/>
        <v/>
      </c>
      <c r="Q96" s="4" t="str">
        <f t="shared" si="18"/>
        <v/>
      </c>
    </row>
    <row r="97" spans="1:17" x14ac:dyDescent="0.2">
      <c r="A97">
        <f t="shared" si="44"/>
        <v>92</v>
      </c>
      <c r="B97" t="str">
        <f t="shared" si="31"/>
        <v/>
      </c>
      <c r="C97" s="3">
        <f t="shared" si="32"/>
        <v>0</v>
      </c>
      <c r="D97" s="4">
        <f t="shared" ca="1" si="33"/>
        <v>0</v>
      </c>
      <c r="E97" s="4" cm="1">
        <f t="array" aca="1" ref="E97" ca="1">D97*_ENG_Rechenwert_g.Min./100</f>
        <v>0</v>
      </c>
      <c r="F97" s="4">
        <f t="shared" ca="1" si="34"/>
        <v>0</v>
      </c>
      <c r="G97" s="4">
        <f t="shared" si="35"/>
        <v>0</v>
      </c>
      <c r="H97" s="4">
        <f t="shared" ca="1" si="36"/>
        <v>0</v>
      </c>
      <c r="I97" s="4">
        <f t="shared" si="37"/>
        <v>0</v>
      </c>
      <c r="J97" s="4">
        <f t="shared" ca="1" si="38"/>
        <v>0</v>
      </c>
      <c r="K97" s="4">
        <f t="shared" si="39"/>
        <v>0</v>
      </c>
      <c r="L97" s="4" t="str">
        <f t="shared" si="40"/>
        <v/>
      </c>
      <c r="M97" s="4">
        <f t="shared" ca="1" si="41"/>
        <v>0</v>
      </c>
      <c r="N97" s="4">
        <f t="shared" ca="1" si="42"/>
        <v>0</v>
      </c>
      <c r="O97" s="4">
        <f t="shared" ca="1" si="43"/>
        <v>0</v>
      </c>
      <c r="P97" s="4" t="str">
        <f t="shared" si="17"/>
        <v/>
      </c>
      <c r="Q97" s="4" t="str">
        <f t="shared" si="18"/>
        <v/>
      </c>
    </row>
    <row r="98" spans="1:17" x14ac:dyDescent="0.2">
      <c r="A98">
        <f t="shared" si="44"/>
        <v>93</v>
      </c>
      <c r="B98" t="str">
        <f t="shared" si="31"/>
        <v/>
      </c>
      <c r="C98" s="3">
        <f t="shared" si="32"/>
        <v>0</v>
      </c>
      <c r="D98" s="4">
        <f t="shared" ca="1" si="33"/>
        <v>0</v>
      </c>
      <c r="E98" s="4" cm="1">
        <f t="array" aca="1" ref="E98" ca="1">D98*_ENG_Rechenwert_g.Min./100</f>
        <v>0</v>
      </c>
      <c r="F98" s="4">
        <f t="shared" ca="1" si="34"/>
        <v>0</v>
      </c>
      <c r="G98" s="4">
        <f t="shared" si="35"/>
        <v>0</v>
      </c>
      <c r="H98" s="4">
        <f t="shared" ca="1" si="36"/>
        <v>0</v>
      </c>
      <c r="I98" s="4">
        <f t="shared" si="37"/>
        <v>0</v>
      </c>
      <c r="J98" s="4">
        <f t="shared" ca="1" si="38"/>
        <v>0</v>
      </c>
      <c r="K98" s="4">
        <f t="shared" si="39"/>
        <v>0</v>
      </c>
      <c r="L98" s="4" t="str">
        <f t="shared" si="40"/>
        <v/>
      </c>
      <c r="M98" s="4">
        <f t="shared" ca="1" si="41"/>
        <v>0</v>
      </c>
      <c r="N98" s="4">
        <f t="shared" ca="1" si="42"/>
        <v>0</v>
      </c>
      <c r="O98" s="4">
        <f t="shared" ca="1" si="43"/>
        <v>0</v>
      </c>
      <c r="P98" s="4" t="str">
        <f t="shared" si="17"/>
        <v/>
      </c>
      <c r="Q98" s="4" t="str">
        <f t="shared" si="18"/>
        <v/>
      </c>
    </row>
    <row r="99" spans="1:17" x14ac:dyDescent="0.2">
      <c r="A99">
        <f t="shared" si="44"/>
        <v>94</v>
      </c>
      <c r="B99" t="str">
        <f t="shared" si="31"/>
        <v/>
      </c>
      <c r="C99" s="3">
        <f t="shared" si="32"/>
        <v>0</v>
      </c>
      <c r="D99" s="4">
        <f t="shared" ca="1" si="33"/>
        <v>0</v>
      </c>
      <c r="E99" s="4" cm="1">
        <f t="array" aca="1" ref="E99" ca="1">D99*_ENG_Rechenwert_g.Min./100</f>
        <v>0</v>
      </c>
      <c r="F99" s="4">
        <f t="shared" ca="1" si="34"/>
        <v>0</v>
      </c>
      <c r="G99" s="4">
        <f t="shared" si="35"/>
        <v>0</v>
      </c>
      <c r="H99" s="4">
        <f t="shared" ca="1" si="36"/>
        <v>0</v>
      </c>
      <c r="I99" s="4">
        <f t="shared" si="37"/>
        <v>0</v>
      </c>
      <c r="J99" s="4">
        <f t="shared" ca="1" si="38"/>
        <v>0</v>
      </c>
      <c r="K99" s="4">
        <f t="shared" si="39"/>
        <v>0</v>
      </c>
      <c r="L99" s="4" t="str">
        <f t="shared" si="40"/>
        <v/>
      </c>
      <c r="M99" s="4">
        <f t="shared" ca="1" si="41"/>
        <v>0</v>
      </c>
      <c r="N99" s="4">
        <f t="shared" ca="1" si="42"/>
        <v>0</v>
      </c>
      <c r="O99" s="4">
        <f t="shared" ca="1" si="43"/>
        <v>0</v>
      </c>
      <c r="P99" s="4" t="str">
        <f t="shared" si="17"/>
        <v/>
      </c>
      <c r="Q99" s="4" t="str">
        <f t="shared" si="18"/>
        <v/>
      </c>
    </row>
    <row r="100" spans="1:17" x14ac:dyDescent="0.2">
      <c r="A100">
        <f t="shared" si="44"/>
        <v>95</v>
      </c>
      <c r="B100" t="str">
        <f t="shared" si="31"/>
        <v/>
      </c>
      <c r="C100" s="3">
        <f t="shared" si="32"/>
        <v>0</v>
      </c>
      <c r="D100" s="4">
        <f t="shared" ca="1" si="33"/>
        <v>0</v>
      </c>
      <c r="E100" s="4" cm="1">
        <f t="array" aca="1" ref="E100" ca="1">D100*_ENG_Rechenwert_g.Min./100</f>
        <v>0</v>
      </c>
      <c r="F100" s="4">
        <f t="shared" ca="1" si="34"/>
        <v>0</v>
      </c>
      <c r="G100" s="4">
        <f t="shared" si="35"/>
        <v>0</v>
      </c>
      <c r="H100" s="4">
        <f t="shared" ca="1" si="36"/>
        <v>0</v>
      </c>
      <c r="I100" s="4">
        <f t="shared" si="37"/>
        <v>0</v>
      </c>
      <c r="J100" s="4">
        <f t="shared" ca="1" si="38"/>
        <v>0</v>
      </c>
      <c r="K100" s="4">
        <f t="shared" si="39"/>
        <v>0</v>
      </c>
      <c r="L100" s="4" t="str">
        <f t="shared" si="40"/>
        <v/>
      </c>
      <c r="M100" s="4">
        <f t="shared" ca="1" si="41"/>
        <v>0</v>
      </c>
      <c r="N100" s="4">
        <f t="shared" ca="1" si="42"/>
        <v>0</v>
      </c>
      <c r="O100" s="4">
        <f t="shared" ca="1" si="43"/>
        <v>0</v>
      </c>
      <c r="P100" s="4" t="str">
        <f t="shared" ref="P100:P105" si="45">IF(ISNUMBER(B100),IF(N100&lt;0,N100,0),"")</f>
        <v/>
      </c>
      <c r="Q100" s="4" t="str">
        <f t="shared" ref="Q100:Q105" si="46">IF(ISNUMBER(B100),IF(N100&gt;0,N100,0),"")</f>
        <v/>
      </c>
    </row>
    <row r="101" spans="1:17" x14ac:dyDescent="0.2">
      <c r="A101">
        <f t="shared" si="44"/>
        <v>96</v>
      </c>
      <c r="B101" t="str">
        <f t="shared" si="31"/>
        <v/>
      </c>
      <c r="C101" s="3">
        <f t="shared" si="32"/>
        <v>0</v>
      </c>
      <c r="D101" s="4">
        <f t="shared" ca="1" si="33"/>
        <v>0</v>
      </c>
      <c r="E101" s="4" cm="1">
        <f t="array" aca="1" ref="E101" ca="1">D101*_ENG_Rechenwert_g.Min./100</f>
        <v>0</v>
      </c>
      <c r="F101" s="4">
        <f t="shared" ca="1" si="34"/>
        <v>0</v>
      </c>
      <c r="G101" s="4">
        <f t="shared" si="35"/>
        <v>0</v>
      </c>
      <c r="H101" s="4">
        <f t="shared" ca="1" si="36"/>
        <v>0</v>
      </c>
      <c r="I101" s="4">
        <f t="shared" si="37"/>
        <v>0</v>
      </c>
      <c r="J101" s="4">
        <f t="shared" ca="1" si="38"/>
        <v>0</v>
      </c>
      <c r="K101" s="4">
        <f t="shared" si="39"/>
        <v>0</v>
      </c>
      <c r="L101" s="4" t="str">
        <f t="shared" si="40"/>
        <v/>
      </c>
      <c r="M101" s="4">
        <f t="shared" ca="1" si="41"/>
        <v>0</v>
      </c>
      <c r="N101" s="4">
        <f t="shared" ca="1" si="42"/>
        <v>0</v>
      </c>
      <c r="O101" s="4">
        <f t="shared" ca="1" si="43"/>
        <v>0</v>
      </c>
      <c r="P101" s="4" t="str">
        <f t="shared" si="45"/>
        <v/>
      </c>
      <c r="Q101" s="4" t="str">
        <f t="shared" si="46"/>
        <v/>
      </c>
    </row>
    <row r="102" spans="1:17" x14ac:dyDescent="0.2">
      <c r="A102">
        <f t="shared" si="44"/>
        <v>97</v>
      </c>
      <c r="B102" t="str">
        <f t="shared" si="31"/>
        <v/>
      </c>
      <c r="C102" s="3">
        <f t="shared" ref="C102:C105" si="47">IF(ISNUMBER(B102),$C$5-B102*_Degradation_pro_Jahr_Standard,0)</f>
        <v>0</v>
      </c>
      <c r="D102" s="4">
        <f t="shared" ref="D102:D105" ca="1" si="48">_Ertrag_g.Min.*C102/100</f>
        <v>0</v>
      </c>
      <c r="E102" s="4" cm="1">
        <f t="array" aca="1" ref="E102" ca="1">D102*_ENG_Rechenwert_g.Min./100</f>
        <v>0</v>
      </c>
      <c r="F102" s="4">
        <f t="shared" ref="F102:F105" ca="1" si="49">(D102-E102)*_Tarif_Rücklieferung/100</f>
        <v>0</v>
      </c>
      <c r="G102" s="4">
        <f t="shared" ref="G102:G105" si="50">IF(_MWSt_pflichtig,F102*_MWSt_Satz/100,0)</f>
        <v>0</v>
      </c>
      <c r="H102" s="4">
        <f t="shared" ca="1" si="36"/>
        <v>0</v>
      </c>
      <c r="I102" s="4">
        <f t="shared" si="37"/>
        <v>0</v>
      </c>
      <c r="J102" s="4">
        <f t="shared" ca="1" si="38"/>
        <v>0</v>
      </c>
      <c r="K102" s="4">
        <f t="shared" ref="K102:K105" si="51">IF(_MWSt_pflichtig,J102*_MWSt_Satz/100,0)</f>
        <v>0</v>
      </c>
      <c r="L102" s="4" t="str">
        <f t="shared" si="40"/>
        <v/>
      </c>
      <c r="M102" s="4">
        <f t="shared" ref="M102:M105" ca="1" si="52">SUM(F102:L102)</f>
        <v>0</v>
      </c>
      <c r="N102" s="4">
        <f t="shared" ref="N102:N105" ca="1" si="53">N101+M102</f>
        <v>0</v>
      </c>
      <c r="O102" s="4">
        <f t="shared" ref="O102:O105" ca="1" si="54">IF(AND(N101&lt;0,N102&gt;=0),B102,0)</f>
        <v>0</v>
      </c>
      <c r="P102" s="4" t="str">
        <f t="shared" si="45"/>
        <v/>
      </c>
      <c r="Q102" s="4" t="str">
        <f t="shared" si="46"/>
        <v/>
      </c>
    </row>
    <row r="103" spans="1:17" x14ac:dyDescent="0.2">
      <c r="A103">
        <f t="shared" si="44"/>
        <v>98</v>
      </c>
      <c r="B103" t="str">
        <f t="shared" si="31"/>
        <v/>
      </c>
      <c r="C103" s="3">
        <f t="shared" si="47"/>
        <v>0</v>
      </c>
      <c r="D103" s="4">
        <f t="shared" ca="1" si="48"/>
        <v>0</v>
      </c>
      <c r="E103" s="4" cm="1">
        <f t="array" aca="1" ref="E103" ca="1">D103*_ENG_Rechenwert_g.Min./100</f>
        <v>0</v>
      </c>
      <c r="F103" s="4">
        <f t="shared" ca="1" si="49"/>
        <v>0</v>
      </c>
      <c r="G103" s="4">
        <f t="shared" si="50"/>
        <v>0</v>
      </c>
      <c r="H103" s="4">
        <f t="shared" ca="1" si="36"/>
        <v>0</v>
      </c>
      <c r="I103" s="4">
        <f t="shared" si="37"/>
        <v>0</v>
      </c>
      <c r="J103" s="4">
        <f t="shared" ca="1" si="38"/>
        <v>0</v>
      </c>
      <c r="K103" s="4">
        <f t="shared" si="51"/>
        <v>0</v>
      </c>
      <c r="L103" s="4" t="str">
        <f t="shared" si="40"/>
        <v/>
      </c>
      <c r="M103" s="4">
        <f t="shared" ca="1" si="52"/>
        <v>0</v>
      </c>
      <c r="N103" s="4">
        <f t="shared" ca="1" si="53"/>
        <v>0</v>
      </c>
      <c r="O103" s="4">
        <f t="shared" ca="1" si="54"/>
        <v>0</v>
      </c>
      <c r="P103" s="4" t="str">
        <f t="shared" si="45"/>
        <v/>
      </c>
      <c r="Q103" s="4" t="str">
        <f t="shared" si="46"/>
        <v/>
      </c>
    </row>
    <row r="104" spans="1:17" x14ac:dyDescent="0.2">
      <c r="A104">
        <f t="shared" si="44"/>
        <v>99</v>
      </c>
      <c r="B104" t="str">
        <f t="shared" si="31"/>
        <v/>
      </c>
      <c r="C104" s="3">
        <f t="shared" si="47"/>
        <v>0</v>
      </c>
      <c r="D104" s="4">
        <f t="shared" ca="1" si="48"/>
        <v>0</v>
      </c>
      <c r="E104" s="4" cm="1">
        <f t="array" aca="1" ref="E104" ca="1">D104*_ENG_Rechenwert_g.Min./100</f>
        <v>0</v>
      </c>
      <c r="F104" s="4">
        <f t="shared" ca="1" si="49"/>
        <v>0</v>
      </c>
      <c r="G104" s="4">
        <f t="shared" si="50"/>
        <v>0</v>
      </c>
      <c r="H104" s="4">
        <f t="shared" ca="1" si="36"/>
        <v>0</v>
      </c>
      <c r="I104" s="4">
        <f t="shared" si="37"/>
        <v>0</v>
      </c>
      <c r="J104" s="4">
        <f t="shared" ca="1" si="38"/>
        <v>0</v>
      </c>
      <c r="K104" s="4">
        <f t="shared" si="51"/>
        <v>0</v>
      </c>
      <c r="L104" s="4" t="str">
        <f t="shared" si="40"/>
        <v/>
      </c>
      <c r="M104" s="4">
        <f t="shared" ca="1" si="52"/>
        <v>0</v>
      </c>
      <c r="N104" s="4">
        <f t="shared" ca="1" si="53"/>
        <v>0</v>
      </c>
      <c r="O104" s="4">
        <f t="shared" ca="1" si="54"/>
        <v>0</v>
      </c>
      <c r="P104" s="4" t="str">
        <f t="shared" si="45"/>
        <v/>
      </c>
      <c r="Q104" s="4" t="str">
        <f t="shared" si="46"/>
        <v/>
      </c>
    </row>
    <row r="105" spans="1:17" x14ac:dyDescent="0.2">
      <c r="A105">
        <f t="shared" si="44"/>
        <v>100</v>
      </c>
      <c r="B105" t="str">
        <f t="shared" si="31"/>
        <v/>
      </c>
      <c r="C105" s="3">
        <f t="shared" si="47"/>
        <v>0</v>
      </c>
      <c r="D105" s="4">
        <f t="shared" ca="1" si="48"/>
        <v>0</v>
      </c>
      <c r="E105" s="4" cm="1">
        <f t="array" aca="1" ref="E105" ca="1">D105*_ENG_Rechenwert_g.Min./100</f>
        <v>0</v>
      </c>
      <c r="F105" s="4">
        <f t="shared" ca="1" si="49"/>
        <v>0</v>
      </c>
      <c r="G105" s="4">
        <f t="shared" si="50"/>
        <v>0</v>
      </c>
      <c r="H105" s="4">
        <f t="shared" ca="1" si="36"/>
        <v>0</v>
      </c>
      <c r="I105" s="4">
        <f t="shared" si="37"/>
        <v>0</v>
      </c>
      <c r="J105" s="4">
        <f t="shared" ca="1" si="38"/>
        <v>0</v>
      </c>
      <c r="K105" s="4">
        <f t="shared" si="51"/>
        <v>0</v>
      </c>
      <c r="L105" s="4" t="str">
        <f t="shared" si="40"/>
        <v/>
      </c>
      <c r="M105" s="4">
        <f t="shared" ca="1" si="52"/>
        <v>0</v>
      </c>
      <c r="N105" s="4">
        <f t="shared" ca="1" si="53"/>
        <v>0</v>
      </c>
      <c r="O105" s="4">
        <f t="shared" ca="1" si="54"/>
        <v>0</v>
      </c>
      <c r="P105" s="4" t="str">
        <f t="shared" si="45"/>
        <v/>
      </c>
      <c r="Q105" s="4" t="str">
        <f t="shared" si="46"/>
        <v/>
      </c>
    </row>
    <row r="123" spans="4:4" x14ac:dyDescent="0.2">
      <c r="D123" s="6"/>
    </row>
  </sheetData>
  <sheetProtection algorithmName="SHA-512" hashValue="jQEsSxzvRH2LPTpiq5qG5Hv3sNEinIBt+tBEkcoMrzRszQctkXPKFSD+g6rc661PEwOPw6Qd+walEgTPUafnow==" saltValue="W6Mwz2wLgVC4djD+UIOZXg==" spinCount="100000" sheet="1" objects="1" scenarios="1" autoFilter="0"/>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AL29"/>
  <sheetViews>
    <sheetView workbookViewId="0">
      <selection activeCell="B73" sqref="B73"/>
    </sheetView>
  </sheetViews>
  <sheetFormatPr baseColWidth="10" defaultRowHeight="12.75" x14ac:dyDescent="0.2"/>
  <cols>
    <col min="1" max="1" width="17.140625" customWidth="1"/>
    <col min="2" max="38" width="6.140625" customWidth="1"/>
  </cols>
  <sheetData>
    <row r="1" spans="1:38" ht="14.25" x14ac:dyDescent="0.2">
      <c r="A1" s="50" t="s">
        <v>44</v>
      </c>
      <c r="B1">
        <f>C4-B4</f>
        <v>10</v>
      </c>
      <c r="C1" t="s">
        <v>46</v>
      </c>
    </row>
    <row r="2" spans="1:38" x14ac:dyDescent="0.2">
      <c r="A2" t="s">
        <v>45</v>
      </c>
      <c r="B2">
        <f>A6-A5</f>
        <v>5</v>
      </c>
      <c r="C2" t="s">
        <v>46</v>
      </c>
    </row>
    <row r="3" spans="1:38" x14ac:dyDescent="0.2">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row>
    <row r="4" spans="1:38" x14ac:dyDescent="0.2">
      <c r="A4" t="s">
        <v>145</v>
      </c>
      <c r="B4" s="13">
        <v>-180</v>
      </c>
      <c r="C4" s="13">
        <v>-170</v>
      </c>
      <c r="D4" s="13">
        <v>-160</v>
      </c>
      <c r="E4" s="13">
        <v>-150</v>
      </c>
      <c r="F4" s="13">
        <v>-140</v>
      </c>
      <c r="G4" s="13">
        <v>-130</v>
      </c>
      <c r="H4" s="13">
        <v>-120</v>
      </c>
      <c r="I4">
        <v>-110</v>
      </c>
      <c r="J4">
        <v>-100</v>
      </c>
      <c r="K4">
        <v>-90</v>
      </c>
      <c r="L4">
        <v>-80</v>
      </c>
      <c r="M4">
        <v>-70</v>
      </c>
      <c r="N4">
        <v>-60</v>
      </c>
      <c r="O4">
        <v>-50</v>
      </c>
      <c r="P4">
        <v>-40</v>
      </c>
      <c r="Q4">
        <v>-30</v>
      </c>
      <c r="R4">
        <v>-20</v>
      </c>
      <c r="S4">
        <v>-10</v>
      </c>
      <c r="T4">
        <v>0</v>
      </c>
      <c r="U4">
        <v>10</v>
      </c>
      <c r="V4">
        <v>20</v>
      </c>
      <c r="W4">
        <v>30</v>
      </c>
      <c r="X4">
        <v>40</v>
      </c>
      <c r="Y4">
        <v>50</v>
      </c>
      <c r="Z4">
        <v>60</v>
      </c>
      <c r="AA4">
        <v>70</v>
      </c>
      <c r="AB4">
        <v>80</v>
      </c>
      <c r="AC4">
        <v>90</v>
      </c>
      <c r="AD4">
        <v>100</v>
      </c>
      <c r="AE4">
        <v>110</v>
      </c>
      <c r="AF4">
        <v>120</v>
      </c>
      <c r="AG4">
        <v>130</v>
      </c>
      <c r="AH4">
        <v>140</v>
      </c>
      <c r="AI4">
        <v>150</v>
      </c>
      <c r="AJ4">
        <v>160</v>
      </c>
      <c r="AK4">
        <v>170</v>
      </c>
      <c r="AL4">
        <v>180</v>
      </c>
    </row>
    <row r="5" spans="1:38" x14ac:dyDescent="0.2">
      <c r="A5">
        <v>0</v>
      </c>
      <c r="B5" s="2">
        <v>1</v>
      </c>
      <c r="C5" s="2">
        <v>1</v>
      </c>
      <c r="D5" s="2">
        <v>1</v>
      </c>
      <c r="E5" s="2">
        <v>1</v>
      </c>
      <c r="F5" s="2">
        <v>1</v>
      </c>
      <c r="G5" s="2">
        <v>1</v>
      </c>
      <c r="H5" s="2">
        <v>1</v>
      </c>
      <c r="I5" s="2">
        <v>1</v>
      </c>
      <c r="J5" s="2">
        <v>1</v>
      </c>
      <c r="K5" s="2">
        <v>1</v>
      </c>
      <c r="L5" s="2">
        <v>1</v>
      </c>
      <c r="M5" s="2">
        <v>1</v>
      </c>
      <c r="N5" s="2">
        <v>1</v>
      </c>
      <c r="O5" s="2">
        <v>1</v>
      </c>
      <c r="P5" s="2">
        <v>1</v>
      </c>
      <c r="Q5" s="2">
        <v>1</v>
      </c>
      <c r="R5" s="2">
        <v>1</v>
      </c>
      <c r="S5" s="2">
        <v>1</v>
      </c>
      <c r="T5" s="2">
        <v>1</v>
      </c>
      <c r="U5" s="2">
        <v>1</v>
      </c>
      <c r="V5" s="2">
        <v>1</v>
      </c>
      <c r="W5" s="2">
        <v>1</v>
      </c>
      <c r="X5" s="2">
        <v>1</v>
      </c>
      <c r="Y5" s="2">
        <v>1</v>
      </c>
      <c r="Z5" s="2">
        <v>1</v>
      </c>
      <c r="AA5" s="2">
        <v>1</v>
      </c>
      <c r="AB5" s="2">
        <v>1</v>
      </c>
      <c r="AC5" s="2">
        <v>1</v>
      </c>
      <c r="AD5" s="2">
        <v>1</v>
      </c>
      <c r="AE5" s="2">
        <v>1</v>
      </c>
      <c r="AF5" s="2">
        <v>1</v>
      </c>
      <c r="AG5" s="2">
        <v>1</v>
      </c>
      <c r="AH5" s="2">
        <v>1</v>
      </c>
      <c r="AI5" s="2">
        <v>1</v>
      </c>
      <c r="AJ5" s="2">
        <v>1</v>
      </c>
      <c r="AK5" s="2">
        <v>1</v>
      </c>
      <c r="AL5" s="2">
        <v>1</v>
      </c>
    </row>
    <row r="6" spans="1:38" x14ac:dyDescent="0.2">
      <c r="A6">
        <v>5</v>
      </c>
      <c r="B6" s="2">
        <v>0.95889567477950399</v>
      </c>
      <c r="C6" s="2">
        <v>0.96010765989840097</v>
      </c>
      <c r="D6" s="2">
        <v>0.962474130097418</v>
      </c>
      <c r="E6" s="2">
        <v>0.96591220445654402</v>
      </c>
      <c r="F6" s="2">
        <v>0.97031261683159897</v>
      </c>
      <c r="G6" s="2">
        <v>0.97553718395032296</v>
      </c>
      <c r="H6" s="2">
        <v>0.98142308407284595</v>
      </c>
      <c r="I6" s="2">
        <v>0.98779101202199404</v>
      </c>
      <c r="J6" s="2">
        <v>0.99444821020597496</v>
      </c>
      <c r="K6" s="2">
        <v>1.00119542749793</v>
      </c>
      <c r="L6" s="2">
        <v>1.0078273939220099</v>
      </c>
      <c r="M6" s="2">
        <v>1.0141421426359101</v>
      </c>
      <c r="N6" s="2">
        <v>1.0199509557174</v>
      </c>
      <c r="O6" s="2">
        <v>1.0250765287325301</v>
      </c>
      <c r="P6" s="2">
        <v>1.02936288073323</v>
      </c>
      <c r="Q6" s="2">
        <v>1.03267922243485</v>
      </c>
      <c r="R6" s="2">
        <v>1.0349242251731701</v>
      </c>
      <c r="S6" s="2">
        <v>1.0360320686117399</v>
      </c>
      <c r="T6" s="2">
        <v>1.0359772556679101</v>
      </c>
      <c r="U6" s="2">
        <v>1.0347705631331201</v>
      </c>
      <c r="V6" s="2">
        <v>1.03244842562047</v>
      </c>
      <c r="W6" s="2">
        <v>1.02907150896116</v>
      </c>
      <c r="X6" s="2">
        <v>1.0247428029593699</v>
      </c>
      <c r="Y6" s="2">
        <v>1.0195964967242801</v>
      </c>
      <c r="Z6" s="2">
        <v>1.01378632792649</v>
      </c>
      <c r="AA6" s="2">
        <v>1.00748517557816</v>
      </c>
      <c r="AB6" s="2">
        <v>1.0008765815345899</v>
      </c>
      <c r="AC6" s="2">
        <v>0.99414737707829404</v>
      </c>
      <c r="AD6" s="2">
        <v>0.987498029996841</v>
      </c>
      <c r="AE6" s="2">
        <v>0.98113151964305401</v>
      </c>
      <c r="AF6" s="2">
        <v>0.97525985775066504</v>
      </c>
      <c r="AG6" s="2">
        <v>0.97006791634681599</v>
      </c>
      <c r="AH6" s="2">
        <v>0.96571210287695297</v>
      </c>
      <c r="AI6" s="2">
        <v>0.96233057850858195</v>
      </c>
      <c r="AJ6" s="2">
        <v>0.96002910558517696</v>
      </c>
      <c r="AK6" s="2">
        <v>0.95887138460994303</v>
      </c>
      <c r="AL6" s="2">
        <v>0.95889567477950399</v>
      </c>
    </row>
    <row r="7" spans="1:38" x14ac:dyDescent="0.2">
      <c r="A7">
        <v>10</v>
      </c>
      <c r="B7" s="2">
        <v>0.91323283143815903</v>
      </c>
      <c r="C7" s="2">
        <v>0.91564512350888605</v>
      </c>
      <c r="D7" s="2">
        <v>0.92051636708978102</v>
      </c>
      <c r="E7" s="2">
        <v>0.92757142065368103</v>
      </c>
      <c r="F7" s="2">
        <v>0.93652513241428803</v>
      </c>
      <c r="G7" s="2">
        <v>0.94707571072975205</v>
      </c>
      <c r="H7" s="2">
        <v>0.95888182209832495</v>
      </c>
      <c r="I7" s="2">
        <v>0.971569827917944</v>
      </c>
      <c r="J7" s="2">
        <v>0.98476337933675495</v>
      </c>
      <c r="K7" s="2">
        <v>0.99804924966520603</v>
      </c>
      <c r="L7" s="2">
        <v>1.01105566597399</v>
      </c>
      <c r="M7" s="2">
        <v>1.0234374052092601</v>
      </c>
      <c r="N7" s="2">
        <v>1.0348619542799899</v>
      </c>
      <c r="O7" s="2">
        <v>1.0449502343966099</v>
      </c>
      <c r="P7" s="2">
        <v>1.05339401168421</v>
      </c>
      <c r="Q7" s="2">
        <v>1.05995620245422</v>
      </c>
      <c r="R7" s="2">
        <v>1.0644134858580601</v>
      </c>
      <c r="S7" s="2">
        <v>1.06666340831747</v>
      </c>
      <c r="T7" s="2">
        <v>1.0666268658033</v>
      </c>
      <c r="U7" s="2">
        <v>1.06428514076759</v>
      </c>
      <c r="V7" s="2">
        <v>1.05973243190425</v>
      </c>
      <c r="W7" s="2">
        <v>1.0530987749154299</v>
      </c>
      <c r="X7" s="2">
        <v>1.0446364451764001</v>
      </c>
      <c r="Y7" s="2">
        <v>1.0345830176630899</v>
      </c>
      <c r="Z7" s="2">
        <v>1.0232255425272301</v>
      </c>
      <c r="AA7" s="2">
        <v>1.0108672260414799</v>
      </c>
      <c r="AB7" s="2">
        <v>0.99787618268383105</v>
      </c>
      <c r="AC7" s="2">
        <v>0.98465862180721597</v>
      </c>
      <c r="AD7" s="2">
        <v>0.97154795337095401</v>
      </c>
      <c r="AE7" s="2">
        <v>0.95891607252893696</v>
      </c>
      <c r="AF7" s="2">
        <v>0.94715528068642996</v>
      </c>
      <c r="AG7" s="2">
        <v>0.93662743306315599</v>
      </c>
      <c r="AH7" s="2">
        <v>0.92773088289709904</v>
      </c>
      <c r="AI7" s="2">
        <v>0.92075480156029599</v>
      </c>
      <c r="AJ7" s="2">
        <v>0.91589661092150698</v>
      </c>
      <c r="AK7" s="2">
        <v>0.91333626335070495</v>
      </c>
      <c r="AL7" s="2">
        <v>0.91323283143815903</v>
      </c>
    </row>
    <row r="8" spans="1:38" x14ac:dyDescent="0.2">
      <c r="A8">
        <v>15</v>
      </c>
      <c r="B8" s="2">
        <v>0.86394476656294406</v>
      </c>
      <c r="C8" s="2">
        <v>0.86762582370667796</v>
      </c>
      <c r="D8" s="2">
        <v>0.87500026357790806</v>
      </c>
      <c r="E8" s="2">
        <v>0.88586201881286897</v>
      </c>
      <c r="F8" s="2">
        <v>0.89953675419429202</v>
      </c>
      <c r="G8" s="2">
        <v>0.91547733752955296</v>
      </c>
      <c r="H8" s="2">
        <v>0.93320153086358704</v>
      </c>
      <c r="I8" s="2">
        <v>0.95216051731963802</v>
      </c>
      <c r="J8" s="2">
        <v>0.97184475083868105</v>
      </c>
      <c r="K8" s="2">
        <v>0.99158189229492699</v>
      </c>
      <c r="L8" s="2">
        <v>1.0107735131075</v>
      </c>
      <c r="M8" s="2">
        <v>1.0288690018770099</v>
      </c>
      <c r="N8" s="2">
        <v>1.0454379200905199</v>
      </c>
      <c r="O8" s="2">
        <v>1.0601003387302701</v>
      </c>
      <c r="P8" s="2">
        <v>1.0723719403885199</v>
      </c>
      <c r="Q8" s="2">
        <v>1.0818377260950001</v>
      </c>
      <c r="R8" s="2">
        <v>1.08832626086611</v>
      </c>
      <c r="S8" s="2">
        <v>1.09167297625242</v>
      </c>
      <c r="T8" s="2">
        <v>1.09161785394656</v>
      </c>
      <c r="U8" s="2">
        <v>1.0882125744012601</v>
      </c>
      <c r="V8" s="2">
        <v>1.08154644248959</v>
      </c>
      <c r="W8" s="2">
        <v>1.0719152509193901</v>
      </c>
      <c r="X8" s="2">
        <v>1.05970667273138</v>
      </c>
      <c r="Y8" s="2">
        <v>1.04522054937577</v>
      </c>
      <c r="Z8" s="2">
        <v>1.02873730894114</v>
      </c>
      <c r="AA8" s="2">
        <v>1.01079687326123</v>
      </c>
      <c r="AB8" s="2">
        <v>0.99191086345115997</v>
      </c>
      <c r="AC8" s="2">
        <v>0.972461326569796</v>
      </c>
      <c r="AD8" s="2">
        <v>0.95294578399270102</v>
      </c>
      <c r="AE8" s="2">
        <v>0.93396491818454497</v>
      </c>
      <c r="AF8" s="2">
        <v>0.91629970089118495</v>
      </c>
      <c r="AG8" s="2">
        <v>0.90038901995869802</v>
      </c>
      <c r="AH8" s="2">
        <v>0.88674497801603003</v>
      </c>
      <c r="AI8" s="2">
        <v>0.87591625798375505</v>
      </c>
      <c r="AJ8" s="2">
        <v>0.86825602746389097</v>
      </c>
      <c r="AK8" s="2">
        <v>0.86420870151942197</v>
      </c>
      <c r="AL8" s="2">
        <v>0.86394476656294406</v>
      </c>
    </row>
    <row r="9" spans="1:38" x14ac:dyDescent="0.2">
      <c r="A9">
        <v>20</v>
      </c>
      <c r="B9" s="2">
        <v>0.81243951476217102</v>
      </c>
      <c r="C9" s="2">
        <v>0.81732579946807404</v>
      </c>
      <c r="D9" s="2">
        <v>0.82737206539091501</v>
      </c>
      <c r="E9" s="2">
        <v>0.84206685065736198</v>
      </c>
      <c r="F9" s="2">
        <v>0.86056317996500598</v>
      </c>
      <c r="G9" s="2">
        <v>0.88196685006296505</v>
      </c>
      <c r="H9" s="2">
        <v>0.90563003787170004</v>
      </c>
      <c r="I9" s="2">
        <v>0.93072409632915098</v>
      </c>
      <c r="J9" s="2">
        <v>0.95633947116449103</v>
      </c>
      <c r="K9" s="2">
        <v>0.98184567683768098</v>
      </c>
      <c r="L9" s="2">
        <v>1.00670226016773</v>
      </c>
      <c r="M9" s="2">
        <v>1.0300928196354699</v>
      </c>
      <c r="N9" s="2">
        <v>1.05144268406528</v>
      </c>
      <c r="O9" s="2">
        <v>1.0703292942473499</v>
      </c>
      <c r="P9" s="2">
        <v>1.0861982079613399</v>
      </c>
      <c r="Q9" s="2">
        <v>1.0984107672818</v>
      </c>
      <c r="R9" s="2">
        <v>1.1067309186804799</v>
      </c>
      <c r="S9" s="2">
        <v>1.11088753761948</v>
      </c>
      <c r="T9" s="2">
        <v>1.1107708620087799</v>
      </c>
      <c r="U9" s="2">
        <v>1.1064098609722199</v>
      </c>
      <c r="V9" s="2">
        <v>1.0979870448173199</v>
      </c>
      <c r="W9" s="2">
        <v>1.0856936963205399</v>
      </c>
      <c r="X9" s="2">
        <v>1.0700324288237499</v>
      </c>
      <c r="Y9" s="2">
        <v>1.0514193207340199</v>
      </c>
      <c r="Z9" s="2">
        <v>1.03016831173581</v>
      </c>
      <c r="AA9" s="2">
        <v>1.0071926405498</v>
      </c>
      <c r="AB9" s="2">
        <v>0.98278494404857097</v>
      </c>
      <c r="AC9" s="2">
        <v>0.95749889428413404</v>
      </c>
      <c r="AD9" s="2">
        <v>0.93210345586530496</v>
      </c>
      <c r="AE9" s="2">
        <v>0.90726897909394799</v>
      </c>
      <c r="AF9" s="2">
        <v>0.88364944875185703</v>
      </c>
      <c r="AG9" s="2">
        <v>0.86213456202816097</v>
      </c>
      <c r="AH9" s="2">
        <v>0.84366130592357702</v>
      </c>
      <c r="AI9" s="2">
        <v>0.82885336808238297</v>
      </c>
      <c r="AJ9" s="2">
        <v>0.81829120747647799</v>
      </c>
      <c r="AK9" s="2">
        <v>0.81271932393016499</v>
      </c>
      <c r="AL9" s="2">
        <v>0.81243951476217102</v>
      </c>
    </row>
    <row r="10" spans="1:38" x14ac:dyDescent="0.2">
      <c r="A10">
        <v>25</v>
      </c>
      <c r="B10" s="2">
        <v>0.76092610175557396</v>
      </c>
      <c r="C10" s="2">
        <v>0.76713650269753297</v>
      </c>
      <c r="D10" s="2">
        <v>0.77938175763667095</v>
      </c>
      <c r="E10" s="2">
        <v>0.79722253185054104</v>
      </c>
      <c r="F10" s="2">
        <v>0.820320280899139</v>
      </c>
      <c r="G10" s="2">
        <v>0.84697235259647097</v>
      </c>
      <c r="H10" s="2">
        <v>0.87637701027614601</v>
      </c>
      <c r="I10" s="2">
        <v>0.90725439106566796</v>
      </c>
      <c r="J10" s="2">
        <v>0.93888422145397399</v>
      </c>
      <c r="K10" s="2">
        <v>0.96996106702415696</v>
      </c>
      <c r="L10" s="2">
        <v>0.99977410031338099</v>
      </c>
      <c r="M10" s="2">
        <v>1.0278169390112499</v>
      </c>
      <c r="N10" s="2">
        <v>1.0533121490938999</v>
      </c>
      <c r="O10" s="2">
        <v>1.07567775310849</v>
      </c>
      <c r="P10" s="2">
        <v>1.09458240019276</v>
      </c>
      <c r="Q10" s="2">
        <v>1.10931470964194</v>
      </c>
      <c r="R10" s="2">
        <v>1.1193129316589501</v>
      </c>
      <c r="S10" s="2">
        <v>1.1243175831076599</v>
      </c>
      <c r="T10" s="2">
        <v>1.12397627795807</v>
      </c>
      <c r="U10" s="2">
        <v>1.1189284699344599</v>
      </c>
      <c r="V10" s="2">
        <v>1.1088002868979101</v>
      </c>
      <c r="W10" s="2">
        <v>1.09397632561539</v>
      </c>
      <c r="X10" s="2">
        <v>1.0752876079483999</v>
      </c>
      <c r="Y10" s="2">
        <v>1.05291128132127</v>
      </c>
      <c r="Z10" s="2">
        <v>1.02773213950762</v>
      </c>
      <c r="AA10" s="2">
        <v>1.0003307957276599</v>
      </c>
      <c r="AB10" s="2">
        <v>0.97093031997701895</v>
      </c>
      <c r="AC10" s="2">
        <v>0.94041690379925802</v>
      </c>
      <c r="AD10" s="2">
        <v>0.90951546637262604</v>
      </c>
      <c r="AE10" s="2">
        <v>0.87884265635677505</v>
      </c>
      <c r="AF10" s="2">
        <v>0.849786242390275</v>
      </c>
      <c r="AG10" s="2">
        <v>0.82292344791122296</v>
      </c>
      <c r="AH10" s="2">
        <v>0.79957610353391795</v>
      </c>
      <c r="AI10" s="2">
        <v>0.78075927364369702</v>
      </c>
      <c r="AJ10" s="2">
        <v>0.76771647677341204</v>
      </c>
      <c r="AK10" s="2">
        <v>0.76110187832254605</v>
      </c>
      <c r="AL10" s="2">
        <v>0.76092610175557396</v>
      </c>
    </row>
    <row r="11" spans="1:38" x14ac:dyDescent="0.2">
      <c r="A11">
        <v>30</v>
      </c>
      <c r="B11" s="2">
        <v>0.71067932844763304</v>
      </c>
      <c r="C11" s="2">
        <v>0.71782547247110695</v>
      </c>
      <c r="D11" s="2">
        <v>0.73188095349518301</v>
      </c>
      <c r="E11" s="2">
        <v>0.75276134108731996</v>
      </c>
      <c r="F11" s="2">
        <v>0.77967284594540798</v>
      </c>
      <c r="G11" s="2">
        <v>0.81146175615041105</v>
      </c>
      <c r="H11" s="2">
        <v>0.84627880658917198</v>
      </c>
      <c r="I11" s="2">
        <v>0.88270550023168604</v>
      </c>
      <c r="J11" s="2">
        <v>0.91920661291806405</v>
      </c>
      <c r="K11" s="2">
        <v>0.95521115545747104</v>
      </c>
      <c r="L11" s="2">
        <v>0.98951908167293701</v>
      </c>
      <c r="M11" s="2">
        <v>1.0216683417693999</v>
      </c>
      <c r="N11" s="2">
        <v>1.0508853388594801</v>
      </c>
      <c r="O11" s="2">
        <v>1.07638955965881</v>
      </c>
      <c r="P11" s="2">
        <v>1.0979808994909801</v>
      </c>
      <c r="Q11" s="2">
        <v>1.1145470349583999</v>
      </c>
      <c r="R11" s="2">
        <v>1.1259257045158</v>
      </c>
      <c r="S11" s="2">
        <v>1.1316901344250001</v>
      </c>
      <c r="T11" s="2">
        <v>1.1312551107123701</v>
      </c>
      <c r="U11" s="2">
        <v>1.1255493206246301</v>
      </c>
      <c r="V11" s="2">
        <v>1.11367559799486</v>
      </c>
      <c r="W11" s="2">
        <v>1.0969045541003299</v>
      </c>
      <c r="X11" s="2">
        <v>1.0757600994554899</v>
      </c>
      <c r="Y11" s="2">
        <v>1.0501604407321401</v>
      </c>
      <c r="Z11" s="2">
        <v>1.02138278255213</v>
      </c>
      <c r="AA11" s="2">
        <v>0.98999851030790798</v>
      </c>
      <c r="AB11" s="2">
        <v>0.95621100758531297</v>
      </c>
      <c r="AC11" s="2">
        <v>0.92120661651829805</v>
      </c>
      <c r="AD11" s="2">
        <v>0.88541064587940499</v>
      </c>
      <c r="AE11" s="2">
        <v>0.84985214920213603</v>
      </c>
      <c r="AF11" s="2">
        <v>0.81540418614169197</v>
      </c>
      <c r="AG11" s="2">
        <v>0.78337421711313604</v>
      </c>
      <c r="AH11" s="2">
        <v>0.75525053495544903</v>
      </c>
      <c r="AI11" s="2">
        <v>0.73289038542420404</v>
      </c>
      <c r="AJ11" s="2">
        <v>0.71776000529346595</v>
      </c>
      <c r="AK11" s="2">
        <v>0.71050618959571998</v>
      </c>
      <c r="AL11" s="2">
        <v>0.71067932844763304</v>
      </c>
    </row>
    <row r="12" spans="1:38" x14ac:dyDescent="0.2">
      <c r="A12">
        <v>35</v>
      </c>
      <c r="B12" s="2">
        <v>0.66235986977594496</v>
      </c>
      <c r="C12" s="2">
        <v>0.67003279071495903</v>
      </c>
      <c r="D12" s="2">
        <v>0.68550311471682601</v>
      </c>
      <c r="E12" s="2">
        <v>0.70892107343952704</v>
      </c>
      <c r="F12" s="2">
        <v>0.73940608758339998</v>
      </c>
      <c r="G12" s="2">
        <v>0.775940506501828</v>
      </c>
      <c r="H12" s="2">
        <v>0.81571492895605602</v>
      </c>
      <c r="I12" s="2">
        <v>0.85697333127542397</v>
      </c>
      <c r="J12" s="2">
        <v>0.89830537040013403</v>
      </c>
      <c r="K12" s="2">
        <v>0.93837767069340094</v>
      </c>
      <c r="L12" s="2">
        <v>0.97653412798014405</v>
      </c>
      <c r="M12" s="2">
        <v>1.0118503325677899</v>
      </c>
      <c r="N12" s="2">
        <v>1.0439485111784901</v>
      </c>
      <c r="O12" s="2">
        <v>1.0721308638457601</v>
      </c>
      <c r="P12" s="2">
        <v>1.09584132425342</v>
      </c>
      <c r="Q12" s="2">
        <v>1.11451317770989</v>
      </c>
      <c r="R12" s="2">
        <v>1.1266634187309901</v>
      </c>
      <c r="S12" s="2">
        <v>1.1328840455971001</v>
      </c>
      <c r="T12" s="2">
        <v>1.1327650923378201</v>
      </c>
      <c r="U12" s="2">
        <v>1.1260359121594801</v>
      </c>
      <c r="V12" s="2">
        <v>1.1128186860862099</v>
      </c>
      <c r="W12" s="2">
        <v>1.0947642880919</v>
      </c>
      <c r="X12" s="2">
        <v>1.0710091938145301</v>
      </c>
      <c r="Y12" s="2">
        <v>1.0425056918492299</v>
      </c>
      <c r="Z12" s="2">
        <v>1.01108374577941</v>
      </c>
      <c r="AA12" s="2">
        <v>0.97643817620310902</v>
      </c>
      <c r="AB12" s="2">
        <v>0.93925634731238905</v>
      </c>
      <c r="AC12" s="2">
        <v>0.90041661460382305</v>
      </c>
      <c r="AD12" s="2">
        <v>0.86040302325733997</v>
      </c>
      <c r="AE12" s="2">
        <v>0.82028713164870604</v>
      </c>
      <c r="AF12" s="2">
        <v>0.78113002136486698</v>
      </c>
      <c r="AG12" s="2">
        <v>0.74431671533281996</v>
      </c>
      <c r="AH12" s="2">
        <v>0.71169654117658798</v>
      </c>
      <c r="AI12" s="2">
        <v>0.68614718254434204</v>
      </c>
      <c r="AJ12" s="2">
        <v>0.66943797637666502</v>
      </c>
      <c r="AK12" s="2">
        <v>0.66187122093849904</v>
      </c>
      <c r="AL12" s="2">
        <v>0.66235986977594496</v>
      </c>
    </row>
    <row r="13" spans="1:38" x14ac:dyDescent="0.2">
      <c r="A13">
        <v>40</v>
      </c>
      <c r="B13" s="2">
        <v>0.61456320606171699</v>
      </c>
      <c r="C13" s="2">
        <v>0.62315770707848395</v>
      </c>
      <c r="D13" s="2">
        <v>0.64028663214341197</v>
      </c>
      <c r="E13" s="2">
        <v>0.66624035658291902</v>
      </c>
      <c r="F13" s="2">
        <v>0.70027223492456803</v>
      </c>
      <c r="G13" s="2">
        <v>0.74108132106040403</v>
      </c>
      <c r="H13" s="2">
        <v>0.785137579467583</v>
      </c>
      <c r="I13" s="2">
        <v>0.83034233927135603</v>
      </c>
      <c r="J13" s="2">
        <v>0.87538338724119003</v>
      </c>
      <c r="K13" s="2">
        <v>0.91892515146750597</v>
      </c>
      <c r="L13" s="2">
        <v>0.96038431213991005</v>
      </c>
      <c r="M13" s="2">
        <v>0.99843172033226801</v>
      </c>
      <c r="N13" s="2">
        <v>1.03309044718079</v>
      </c>
      <c r="O13" s="2">
        <v>1.0633470397173199</v>
      </c>
      <c r="P13" s="2">
        <v>1.0883071342678099</v>
      </c>
      <c r="Q13" s="2">
        <v>1.1085457130035199</v>
      </c>
      <c r="R13" s="2">
        <v>1.1218471077266201</v>
      </c>
      <c r="S13" s="2">
        <v>1.1278927420003599</v>
      </c>
      <c r="T13" s="2">
        <v>1.12815799836872</v>
      </c>
      <c r="U13" s="2">
        <v>1.12039377603583</v>
      </c>
      <c r="V13" s="2">
        <v>1.10661602170958</v>
      </c>
      <c r="W13" s="2">
        <v>1.08701048048285</v>
      </c>
      <c r="X13" s="2">
        <v>1.06074946959153</v>
      </c>
      <c r="Y13" s="2">
        <v>1.03088272707588</v>
      </c>
      <c r="Z13" s="2">
        <v>0.99737747971561597</v>
      </c>
      <c r="AA13" s="2">
        <v>0.959633175689103</v>
      </c>
      <c r="AB13" s="2">
        <v>0.91982594737009105</v>
      </c>
      <c r="AC13" s="2">
        <v>0.87762738603814205</v>
      </c>
      <c r="AD13" s="2">
        <v>0.83436534676129503</v>
      </c>
      <c r="AE13" s="2">
        <v>0.79068426346884602</v>
      </c>
      <c r="AF13" s="2">
        <v>0.747758861561449</v>
      </c>
      <c r="AG13" s="2">
        <v>0.70670402442900604</v>
      </c>
      <c r="AH13" s="2">
        <v>0.66977813274075504</v>
      </c>
      <c r="AI13" s="2">
        <v>0.64123016846187597</v>
      </c>
      <c r="AJ13" s="2">
        <v>0.62284631413569003</v>
      </c>
      <c r="AK13" s="2">
        <v>0.61420053735053504</v>
      </c>
      <c r="AL13" s="2">
        <v>0.61456320606171699</v>
      </c>
    </row>
    <row r="14" spans="1:38" x14ac:dyDescent="0.2">
      <c r="A14">
        <v>45</v>
      </c>
      <c r="B14" s="2">
        <v>0.56777152111392903</v>
      </c>
      <c r="C14" s="2">
        <v>0.57751967262807302</v>
      </c>
      <c r="D14" s="2">
        <v>0.596713745057323</v>
      </c>
      <c r="E14" s="2">
        <v>0.62509070009974099</v>
      </c>
      <c r="F14" s="2">
        <v>0.66293589581069201</v>
      </c>
      <c r="G14" s="2">
        <v>0.70738272055243601</v>
      </c>
      <c r="H14" s="2">
        <v>0.75485789308031204</v>
      </c>
      <c r="I14" s="2">
        <v>0.80340127001551498</v>
      </c>
      <c r="J14" s="2">
        <v>0.85130470530262203</v>
      </c>
      <c r="K14" s="2">
        <v>0.897629755412377</v>
      </c>
      <c r="L14" s="2">
        <v>0.94124435516834004</v>
      </c>
      <c r="M14" s="2">
        <v>0.98142553196004201</v>
      </c>
      <c r="N14" s="2">
        <v>1.0174731988699699</v>
      </c>
      <c r="O14" s="2">
        <v>1.0497893957022999</v>
      </c>
      <c r="P14" s="2">
        <v>1.0761895602381799</v>
      </c>
      <c r="Q14" s="2">
        <v>1.0966095006510299</v>
      </c>
      <c r="R14" s="2">
        <v>1.11119328957563</v>
      </c>
      <c r="S14" s="2">
        <v>1.1168125398608</v>
      </c>
      <c r="T14" s="2">
        <v>1.117396507729</v>
      </c>
      <c r="U14" s="2">
        <v>1.10870671244901</v>
      </c>
      <c r="V14" s="2">
        <v>1.0949355332751101</v>
      </c>
      <c r="W14" s="2">
        <v>1.0734513308528599</v>
      </c>
      <c r="X14" s="2">
        <v>1.0463764561012201</v>
      </c>
      <c r="Y14" s="2">
        <v>1.0153185629920201</v>
      </c>
      <c r="Z14" s="2">
        <v>0.97909854172469102</v>
      </c>
      <c r="AA14" s="2">
        <v>0.93973655812179702</v>
      </c>
      <c r="AB14" s="2">
        <v>0.89801001421132398</v>
      </c>
      <c r="AC14" s="2">
        <v>0.85358367593891404</v>
      </c>
      <c r="AD14" s="2">
        <v>0.80788288753254001</v>
      </c>
      <c r="AE14" s="2">
        <v>0.76141546357011802</v>
      </c>
      <c r="AF14" s="2">
        <v>0.71531447663495695</v>
      </c>
      <c r="AG14" s="2">
        <v>0.67093634977012795</v>
      </c>
      <c r="AH14" s="2">
        <v>0.63060153858601997</v>
      </c>
      <c r="AI14" s="2">
        <v>0.59854311196169596</v>
      </c>
      <c r="AJ14" s="2">
        <v>0.57804729888491202</v>
      </c>
      <c r="AK14" s="2">
        <v>0.56783934805111203</v>
      </c>
      <c r="AL14" s="2">
        <v>0.56777152111392903</v>
      </c>
    </row>
    <row r="15" spans="1:38" x14ac:dyDescent="0.2">
      <c r="A15">
        <v>50</v>
      </c>
      <c r="B15" s="2">
        <v>0.52336794657476304</v>
      </c>
      <c r="C15" s="2">
        <v>0.534102489019319</v>
      </c>
      <c r="D15" s="2">
        <v>0.55536954355929802</v>
      </c>
      <c r="E15" s="2">
        <v>0.58616738697999304</v>
      </c>
      <c r="F15" s="2">
        <v>0.62773827150422501</v>
      </c>
      <c r="G15" s="2">
        <v>0.67506262763913105</v>
      </c>
      <c r="H15" s="2">
        <v>0.72495923234646598</v>
      </c>
      <c r="I15" s="2">
        <v>0.77547568939602496</v>
      </c>
      <c r="J15" s="2">
        <v>0.82550550173491999</v>
      </c>
      <c r="K15" s="2">
        <v>0.87401590050553601</v>
      </c>
      <c r="L15" s="2">
        <v>0.91924934035898298</v>
      </c>
      <c r="M15" s="2">
        <v>0.96134382079804503</v>
      </c>
      <c r="N15" s="2">
        <v>0.99829425119135595</v>
      </c>
      <c r="O15" s="2">
        <v>1.0307948038796799</v>
      </c>
      <c r="P15" s="2">
        <v>1.05904416942961</v>
      </c>
      <c r="Q15" s="2">
        <v>1.0791096382254699</v>
      </c>
      <c r="R15" s="2">
        <v>1.0945141864315</v>
      </c>
      <c r="S15" s="2">
        <v>1.100300125605</v>
      </c>
      <c r="T15" s="2">
        <v>1.1005625218604</v>
      </c>
      <c r="U15" s="2">
        <v>1.09141816720476</v>
      </c>
      <c r="V15" s="2">
        <v>1.0773534911896501</v>
      </c>
      <c r="W15" s="2">
        <v>1.05429501967838</v>
      </c>
      <c r="X15" s="2">
        <v>1.0278754780878101</v>
      </c>
      <c r="Y15" s="2">
        <v>0.99460098723111101</v>
      </c>
      <c r="Z15" s="2">
        <v>0.95747587478878005</v>
      </c>
      <c r="AA15" s="2">
        <v>0.91782595892781504</v>
      </c>
      <c r="AB15" s="2">
        <v>0.87411800165518405</v>
      </c>
      <c r="AC15" s="2">
        <v>0.82809542232486799</v>
      </c>
      <c r="AD15" s="2">
        <v>0.78045786844156395</v>
      </c>
      <c r="AE15" s="2">
        <v>0.73211165014236601</v>
      </c>
      <c r="AF15" s="2">
        <v>0.68391847123118599</v>
      </c>
      <c r="AG15" s="2">
        <v>0.63760679659811803</v>
      </c>
      <c r="AH15" s="2">
        <v>0.59468754177897698</v>
      </c>
      <c r="AI15" s="2">
        <v>0.55888178454792403</v>
      </c>
      <c r="AJ15" s="2">
        <v>0.53595435331268104</v>
      </c>
      <c r="AK15" s="2">
        <v>0.52389581179670597</v>
      </c>
      <c r="AL15" s="2">
        <v>0.52336794657476304</v>
      </c>
    </row>
    <row r="16" spans="1:38" x14ac:dyDescent="0.2">
      <c r="A16">
        <v>55</v>
      </c>
      <c r="B16" s="2">
        <v>0.48267989750687601</v>
      </c>
      <c r="C16" s="2">
        <v>0.49430034580914101</v>
      </c>
      <c r="D16" s="2">
        <v>0.51704992820912399</v>
      </c>
      <c r="E16" s="2">
        <v>0.55112238312816897</v>
      </c>
      <c r="F16" s="2">
        <v>0.59535318577256802</v>
      </c>
      <c r="G16" s="2">
        <v>0.64455224551516199</v>
      </c>
      <c r="H16" s="2">
        <v>0.69588964320145197</v>
      </c>
      <c r="I16" s="2">
        <v>0.74775576440589198</v>
      </c>
      <c r="J16" s="2">
        <v>0.79897962138284195</v>
      </c>
      <c r="K16" s="2">
        <v>0.84820891682343003</v>
      </c>
      <c r="L16" s="2">
        <v>0.89442748025193797</v>
      </c>
      <c r="M16" s="2">
        <v>0.936953166813009</v>
      </c>
      <c r="N16" s="2">
        <v>0.97570879303515201</v>
      </c>
      <c r="O16" s="2">
        <v>1.00736799648354</v>
      </c>
      <c r="P16" s="2">
        <v>1.03627037992072</v>
      </c>
      <c r="Q16" s="2">
        <v>1.0573559378548401</v>
      </c>
      <c r="R16" s="2">
        <v>1.0719367363402901</v>
      </c>
      <c r="S16" s="2">
        <v>1.0783228624885</v>
      </c>
      <c r="T16" s="2">
        <v>1.07778415756002</v>
      </c>
      <c r="U16" s="2">
        <v>1.0690485909263301</v>
      </c>
      <c r="V16" s="2">
        <v>1.0540037054098099</v>
      </c>
      <c r="W16" s="2">
        <v>1.03129090547048</v>
      </c>
      <c r="X16" s="2">
        <v>1.00398331393536</v>
      </c>
      <c r="Y16" s="2">
        <v>0.96933531223802705</v>
      </c>
      <c r="Z16" s="2">
        <v>0.93361090003332303</v>
      </c>
      <c r="AA16" s="2">
        <v>0.89226703253975403</v>
      </c>
      <c r="AB16" s="2">
        <v>0.84750499318787098</v>
      </c>
      <c r="AC16" s="2">
        <v>0.80105933888962999</v>
      </c>
      <c r="AD16" s="2">
        <v>0.75251841685407195</v>
      </c>
      <c r="AE16" s="2">
        <v>0.70309269111591799</v>
      </c>
      <c r="AF16" s="2">
        <v>0.65391388526216399</v>
      </c>
      <c r="AG16" s="2">
        <v>0.60635159154621399</v>
      </c>
      <c r="AH16" s="2">
        <v>0.56220112874344896</v>
      </c>
      <c r="AI16" s="2">
        <v>0.52402112382722099</v>
      </c>
      <c r="AJ16" s="2">
        <v>0.497571707282079</v>
      </c>
      <c r="AK16" s="2">
        <v>0.48392510877655498</v>
      </c>
      <c r="AL16" s="2">
        <v>0.48267989750687601</v>
      </c>
    </row>
    <row r="17" spans="1:38" x14ac:dyDescent="0.2">
      <c r="A17">
        <v>60</v>
      </c>
      <c r="B17" s="2">
        <v>0.44715199163916097</v>
      </c>
      <c r="C17" s="2">
        <v>0.45887849625524602</v>
      </c>
      <c r="D17" s="2">
        <v>0.48287897369251498</v>
      </c>
      <c r="E17" s="2">
        <v>0.52064412548897798</v>
      </c>
      <c r="F17" s="2">
        <v>0.56550619077779996</v>
      </c>
      <c r="G17" s="2">
        <v>0.61486780380584105</v>
      </c>
      <c r="H17" s="2">
        <v>0.66663903002067004</v>
      </c>
      <c r="I17" s="2">
        <v>0.71930284001674605</v>
      </c>
      <c r="J17" s="2">
        <v>0.77119482269494499</v>
      </c>
      <c r="K17" s="2">
        <v>0.820812209147609</v>
      </c>
      <c r="L17" s="2">
        <v>0.86786753054329902</v>
      </c>
      <c r="M17" s="2">
        <v>0.90961795299664905</v>
      </c>
      <c r="N17" s="2">
        <v>0.94837979316435606</v>
      </c>
      <c r="O17" s="2">
        <v>0.98140536889769203</v>
      </c>
      <c r="P17" s="2">
        <v>1.0080536321132001</v>
      </c>
      <c r="Q17" s="2">
        <v>1.0302275722721199</v>
      </c>
      <c r="R17" s="2">
        <v>1.04374335197049</v>
      </c>
      <c r="S17" s="2">
        <v>1.0506409192169901</v>
      </c>
      <c r="T17" s="2">
        <v>1.04923477193413</v>
      </c>
      <c r="U17" s="2">
        <v>1.0410899170648</v>
      </c>
      <c r="V17" s="2">
        <v>1.02506544781699</v>
      </c>
      <c r="W17" s="2">
        <v>1.00358463625557</v>
      </c>
      <c r="X17" s="2">
        <v>0.97488179743956005</v>
      </c>
      <c r="Y17" s="2">
        <v>0.94225579586616304</v>
      </c>
      <c r="Z17" s="2">
        <v>0.90530029733343598</v>
      </c>
      <c r="AA17" s="2">
        <v>0.86325636619729995</v>
      </c>
      <c r="AB17" s="2">
        <v>0.81994100806804804</v>
      </c>
      <c r="AC17" s="2">
        <v>0.77303800883634399</v>
      </c>
      <c r="AD17" s="2">
        <v>0.72386193056687798</v>
      </c>
      <c r="AE17" s="2">
        <v>0.67392328212459096</v>
      </c>
      <c r="AF17" s="2">
        <v>0.624493280447045</v>
      </c>
      <c r="AG17" s="2">
        <v>0.57680187750589396</v>
      </c>
      <c r="AH17" s="2">
        <v>0.53282890220396495</v>
      </c>
      <c r="AI17" s="2">
        <v>0.49435127870704798</v>
      </c>
      <c r="AJ17" s="2">
        <v>0.46412605198142398</v>
      </c>
      <c r="AK17" s="2">
        <v>0.44891202364865801</v>
      </c>
      <c r="AL17" s="2">
        <v>0.44715199163916097</v>
      </c>
    </row>
    <row r="18" spans="1:38" x14ac:dyDescent="0.2">
      <c r="A18">
        <v>65</v>
      </c>
      <c r="B18" s="2">
        <v>0.416715743845329</v>
      </c>
      <c r="C18" s="2">
        <v>0.42871568348732803</v>
      </c>
      <c r="D18" s="2">
        <v>0.45557652028579299</v>
      </c>
      <c r="E18" s="2">
        <v>0.49354147571392398</v>
      </c>
      <c r="F18" s="2">
        <v>0.53772003952798098</v>
      </c>
      <c r="G18" s="2">
        <v>0.58669040960664598</v>
      </c>
      <c r="H18" s="2">
        <v>0.63832495620276897</v>
      </c>
      <c r="I18" s="2">
        <v>0.69063874921395196</v>
      </c>
      <c r="J18" s="2">
        <v>0.74204171662484497</v>
      </c>
      <c r="K18" s="2">
        <v>0.79127754814723406</v>
      </c>
      <c r="L18" s="2">
        <v>0.83799967290476696</v>
      </c>
      <c r="M18" s="2">
        <v>0.88073494750379699</v>
      </c>
      <c r="N18" s="2">
        <v>0.91666395772081899</v>
      </c>
      <c r="O18" s="2">
        <v>0.950554992500935</v>
      </c>
      <c r="P18" s="2">
        <v>0.97636759369236403</v>
      </c>
      <c r="Q18" s="2">
        <v>0.99773484617876795</v>
      </c>
      <c r="R18" s="2">
        <v>1.0108957409371799</v>
      </c>
      <c r="S18" s="2">
        <v>1.0174163876970199</v>
      </c>
      <c r="T18" s="2">
        <v>1.0153282679637701</v>
      </c>
      <c r="U18" s="2">
        <v>1.0076560937502601</v>
      </c>
      <c r="V18" s="2">
        <v>0.99164813679154296</v>
      </c>
      <c r="W18" s="2">
        <v>0.97071766783875302</v>
      </c>
      <c r="X18" s="2">
        <v>0.94189678430269197</v>
      </c>
      <c r="Y18" s="2">
        <v>0.91108769684578605</v>
      </c>
      <c r="Z18" s="2">
        <v>0.87296631949036596</v>
      </c>
      <c r="AA18" s="2">
        <v>0.83400735874504695</v>
      </c>
      <c r="AB18" s="2">
        <v>0.79009938543991398</v>
      </c>
      <c r="AC18" s="2">
        <v>0.74276932469636003</v>
      </c>
      <c r="AD18" s="2">
        <v>0.69447387858149201</v>
      </c>
      <c r="AE18" s="2">
        <v>0.64509994375902602</v>
      </c>
      <c r="AF18" s="2">
        <v>0.596298944794318</v>
      </c>
      <c r="AG18" s="2">
        <v>0.54934037328811502</v>
      </c>
      <c r="AH18" s="2">
        <v>0.50603951901622202</v>
      </c>
      <c r="AI18" s="2">
        <v>0.46862887463147701</v>
      </c>
      <c r="AJ18" s="2">
        <v>0.438233307301861</v>
      </c>
      <c r="AK18" s="2">
        <v>0.419628249337196</v>
      </c>
      <c r="AL18" s="2">
        <v>0.416715743845329</v>
      </c>
    </row>
    <row r="19" spans="1:38" x14ac:dyDescent="0.2">
      <c r="A19">
        <v>70</v>
      </c>
      <c r="B19" s="2">
        <v>0.39470382993805198</v>
      </c>
      <c r="C19" s="2">
        <v>0.40700038849136899</v>
      </c>
      <c r="D19" s="2">
        <v>0.43293723443958099</v>
      </c>
      <c r="E19" s="2">
        <v>0.46921932041962</v>
      </c>
      <c r="F19" s="2">
        <v>0.51197446985986605</v>
      </c>
      <c r="G19" s="2">
        <v>0.55930809627158995</v>
      </c>
      <c r="H19" s="2">
        <v>0.60967157108589098</v>
      </c>
      <c r="I19" s="2">
        <v>0.66134826748269104</v>
      </c>
      <c r="J19" s="2">
        <v>0.71208541556917304</v>
      </c>
      <c r="K19" s="2">
        <v>0.76095645789982003</v>
      </c>
      <c r="L19" s="2">
        <v>0.80520876072149405</v>
      </c>
      <c r="M19" s="2">
        <v>0.84786494371597698</v>
      </c>
      <c r="N19" s="2">
        <v>0.88373670737729604</v>
      </c>
      <c r="O19" s="2">
        <v>0.91490188554784302</v>
      </c>
      <c r="P19" s="2">
        <v>0.94097538584415996</v>
      </c>
      <c r="Q19" s="2">
        <v>0.96022027043249503</v>
      </c>
      <c r="R19" s="2">
        <v>0.97333412602286595</v>
      </c>
      <c r="S19" s="2">
        <v>0.97888234113227701</v>
      </c>
      <c r="T19" s="2">
        <v>0.97679494031896197</v>
      </c>
      <c r="U19" s="2">
        <v>0.96898896753048103</v>
      </c>
      <c r="V19" s="2">
        <v>0.95383997611989901</v>
      </c>
      <c r="W19" s="2">
        <v>0.93293059908486597</v>
      </c>
      <c r="X19" s="2">
        <v>0.90658867087198802</v>
      </c>
      <c r="Y19" s="2">
        <v>0.87552066876662205</v>
      </c>
      <c r="Z19" s="2">
        <v>0.83970393689089495</v>
      </c>
      <c r="AA19" s="2">
        <v>0.801519523736273</v>
      </c>
      <c r="AB19" s="2">
        <v>0.75712580468535295</v>
      </c>
      <c r="AC19" s="2">
        <v>0.71233896502734095</v>
      </c>
      <c r="AD19" s="2">
        <v>0.66494650094669205</v>
      </c>
      <c r="AE19" s="2">
        <v>0.61629218096572302</v>
      </c>
      <c r="AF19" s="2">
        <v>0.568375444350256</v>
      </c>
      <c r="AG19" s="2">
        <v>0.52282176878833897</v>
      </c>
      <c r="AH19" s="2">
        <v>0.48158573568289098</v>
      </c>
      <c r="AI19" s="2">
        <v>0.44576545175846299</v>
      </c>
      <c r="AJ19" s="2">
        <v>0.41702157669925799</v>
      </c>
      <c r="AK19" s="2">
        <v>0.39879635135149399</v>
      </c>
      <c r="AL19" s="2">
        <v>0.39470382993805198</v>
      </c>
    </row>
    <row r="20" spans="1:38" x14ac:dyDescent="0.2">
      <c r="A20">
        <v>75</v>
      </c>
      <c r="B20" s="2">
        <v>0.37789852189879097</v>
      </c>
      <c r="C20" s="2">
        <v>0.38913149135083502</v>
      </c>
      <c r="D20" s="2">
        <v>0.413153216650257</v>
      </c>
      <c r="E20" s="2">
        <v>0.44709120589558898</v>
      </c>
      <c r="F20" s="2">
        <v>0.487202299754665</v>
      </c>
      <c r="G20" s="2">
        <v>0.53300465516284301</v>
      </c>
      <c r="H20" s="2">
        <v>0.58176441502552101</v>
      </c>
      <c r="I20" s="2">
        <v>0.63153486785002</v>
      </c>
      <c r="J20" s="2">
        <v>0.68056849142357601</v>
      </c>
      <c r="K20" s="2">
        <v>0.72851892472578605</v>
      </c>
      <c r="L20" s="2">
        <v>0.77269183391762897</v>
      </c>
      <c r="M20" s="2">
        <v>0.81136807875729999</v>
      </c>
      <c r="N20" s="2">
        <v>0.84745773659885104</v>
      </c>
      <c r="O20" s="2">
        <v>0.876264051305088</v>
      </c>
      <c r="P20" s="2">
        <v>0.90105454448953604</v>
      </c>
      <c r="Q20" s="2">
        <v>0.91908574013966005</v>
      </c>
      <c r="R20" s="2">
        <v>0.930977407490025</v>
      </c>
      <c r="S20" s="2">
        <v>0.93561614232464296</v>
      </c>
      <c r="T20" s="2">
        <v>0.93355155562115599</v>
      </c>
      <c r="U20" s="2">
        <v>0.92552193058696197</v>
      </c>
      <c r="V20" s="2">
        <v>0.91160643257948504</v>
      </c>
      <c r="W20" s="2">
        <v>0.89178779761805704</v>
      </c>
      <c r="X20" s="2">
        <v>0.86721684280520395</v>
      </c>
      <c r="Y20" s="2">
        <v>0.83677187701436795</v>
      </c>
      <c r="Z20" s="2">
        <v>0.80414409624109695</v>
      </c>
      <c r="AA20" s="2">
        <v>0.76536804858557195</v>
      </c>
      <c r="AB20" s="2">
        <v>0.72474682966594695</v>
      </c>
      <c r="AC20" s="2">
        <v>0.680903002891177</v>
      </c>
      <c r="AD20" s="2">
        <v>0.63393329845640201</v>
      </c>
      <c r="AE20" s="2">
        <v>0.58746488437250299</v>
      </c>
      <c r="AF20" s="2">
        <v>0.54151572014397098</v>
      </c>
      <c r="AG20" s="2">
        <v>0.49787491153945002</v>
      </c>
      <c r="AH20" s="2">
        <v>0.45822836623006202</v>
      </c>
      <c r="AI20" s="2">
        <v>0.42500803400612203</v>
      </c>
      <c r="AJ20" s="2">
        <v>0.39841046446977801</v>
      </c>
      <c r="AK20" s="2">
        <v>0.38161285667216999</v>
      </c>
      <c r="AL20" s="2">
        <v>0.37789852189879097</v>
      </c>
    </row>
    <row r="21" spans="1:38" x14ac:dyDescent="0.2">
      <c r="A21">
        <v>80</v>
      </c>
      <c r="B21" s="2">
        <v>0.363122682497595</v>
      </c>
      <c r="C21" s="2">
        <v>0.37329086548960999</v>
      </c>
      <c r="D21" s="2">
        <v>0.39513561351849502</v>
      </c>
      <c r="E21" s="2">
        <v>0.426145425263601</v>
      </c>
      <c r="F21" s="2">
        <v>0.46415337904536003</v>
      </c>
      <c r="G21" s="2">
        <v>0.50714335278037603</v>
      </c>
      <c r="H21" s="2">
        <v>0.55375156281525895</v>
      </c>
      <c r="I21" s="2">
        <v>0.60168160939864701</v>
      </c>
      <c r="J21" s="2">
        <v>0.64921883372599698</v>
      </c>
      <c r="K21" s="2">
        <v>0.69342009151782202</v>
      </c>
      <c r="L21" s="2">
        <v>0.73732933959606395</v>
      </c>
      <c r="M21" s="2">
        <v>0.77440275365119904</v>
      </c>
      <c r="N21" s="2">
        <v>0.80753929200963004</v>
      </c>
      <c r="O21" s="2">
        <v>0.83558135092961805</v>
      </c>
      <c r="P21" s="2">
        <v>0.85729031119643295</v>
      </c>
      <c r="Q21" s="2">
        <v>0.87414869102116899</v>
      </c>
      <c r="R21" s="2">
        <v>0.88408628620873797</v>
      </c>
      <c r="S21" s="2">
        <v>0.88820164524970602</v>
      </c>
      <c r="T21" s="2">
        <v>0.88579140962492797</v>
      </c>
      <c r="U21" s="2">
        <v>0.87819258312813298</v>
      </c>
      <c r="V21" s="2">
        <v>0.86500536399320205</v>
      </c>
      <c r="W21" s="2">
        <v>0.84735436408661202</v>
      </c>
      <c r="X21" s="2">
        <v>0.82398930186623098</v>
      </c>
      <c r="Y21" s="2">
        <v>0.79658855916758897</v>
      </c>
      <c r="Z21" s="2">
        <v>0.76512314874482601</v>
      </c>
      <c r="AA21" s="2">
        <v>0.72881210912989602</v>
      </c>
      <c r="AB21" s="2">
        <v>0.690868765089521</v>
      </c>
      <c r="AC21" s="2">
        <v>0.647186052477288</v>
      </c>
      <c r="AD21" s="2">
        <v>0.60352212888059398</v>
      </c>
      <c r="AE21" s="2">
        <v>0.55923831317675199</v>
      </c>
      <c r="AF21" s="2">
        <v>0.51500119629800301</v>
      </c>
      <c r="AG21" s="2">
        <v>0.47335120147120102</v>
      </c>
      <c r="AH21" s="2">
        <v>0.436628891811913</v>
      </c>
      <c r="AI21" s="2">
        <v>0.40541009446652498</v>
      </c>
      <c r="AJ21" s="2">
        <v>0.381363923365303</v>
      </c>
      <c r="AK21" s="2">
        <v>0.36647456284889601</v>
      </c>
      <c r="AL21" s="2">
        <v>0.363122682497595</v>
      </c>
    </row>
    <row r="22" spans="1:38" x14ac:dyDescent="0.2">
      <c r="A22">
        <v>85</v>
      </c>
      <c r="B22" s="2">
        <v>0.349331922816778</v>
      </c>
      <c r="C22" s="2">
        <v>0.35833237762838699</v>
      </c>
      <c r="D22" s="2">
        <v>0.37793233710985402</v>
      </c>
      <c r="E22" s="2">
        <v>0.406737061645772</v>
      </c>
      <c r="F22" s="2">
        <v>0.44153692675043399</v>
      </c>
      <c r="G22" s="2">
        <v>0.48228846684408</v>
      </c>
      <c r="H22" s="2">
        <v>0.52619820480754398</v>
      </c>
      <c r="I22" s="2">
        <v>0.57106716662340395</v>
      </c>
      <c r="J22" s="2">
        <v>0.61698705659278597</v>
      </c>
      <c r="K22" s="2">
        <v>0.65982615163456704</v>
      </c>
      <c r="L22" s="2">
        <v>0.69892503983010901</v>
      </c>
      <c r="M22" s="2">
        <v>0.73553030757690296</v>
      </c>
      <c r="N22" s="2">
        <v>0.76546749218053101</v>
      </c>
      <c r="O22" s="2">
        <v>0.79139628516590999</v>
      </c>
      <c r="P22" s="2">
        <v>0.81111608911558197</v>
      </c>
      <c r="Q22" s="2">
        <v>0.82544758210103297</v>
      </c>
      <c r="R22" s="2">
        <v>0.83397887642138602</v>
      </c>
      <c r="S22" s="2">
        <v>0.83665935922242496</v>
      </c>
      <c r="T22" s="2">
        <v>0.83382191189394195</v>
      </c>
      <c r="U22" s="2">
        <v>0.82695456252086597</v>
      </c>
      <c r="V22" s="2">
        <v>0.81538754938088598</v>
      </c>
      <c r="W22" s="2">
        <v>0.79956114352034902</v>
      </c>
      <c r="X22" s="2">
        <v>0.77872053063258795</v>
      </c>
      <c r="Y22" s="2">
        <v>0.75380951781619798</v>
      </c>
      <c r="Z22" s="2">
        <v>0.72413466990270203</v>
      </c>
      <c r="AA22" s="2">
        <v>0.69171728026677803</v>
      </c>
      <c r="AB22" s="2">
        <v>0.65416433895018999</v>
      </c>
      <c r="AC22" s="2">
        <v>0.61415029923430997</v>
      </c>
      <c r="AD22" s="2">
        <v>0.57326420258191202</v>
      </c>
      <c r="AE22" s="2">
        <v>0.53012937928539305</v>
      </c>
      <c r="AF22" s="2">
        <v>0.48901071964467002</v>
      </c>
      <c r="AG22" s="2">
        <v>0.45019105644164598</v>
      </c>
      <c r="AH22" s="2">
        <v>0.415623056103752</v>
      </c>
      <c r="AI22" s="2">
        <v>0.38718745134091498</v>
      </c>
      <c r="AJ22" s="2">
        <v>0.36504434521670598</v>
      </c>
      <c r="AK22" s="2">
        <v>0.35215813044337502</v>
      </c>
      <c r="AL22" s="2">
        <v>0.349331922816778</v>
      </c>
    </row>
    <row r="23" spans="1:38" x14ac:dyDescent="0.2">
      <c r="A23">
        <v>90</v>
      </c>
      <c r="B23" s="2">
        <v>0.33594762187714799</v>
      </c>
      <c r="C23" s="2">
        <v>0.34418834762121298</v>
      </c>
      <c r="D23" s="2">
        <v>0.362042387931791</v>
      </c>
      <c r="E23" s="2">
        <v>0.38782435596676701</v>
      </c>
      <c r="F23" s="2">
        <v>0.42012572743377602</v>
      </c>
      <c r="G23" s="2">
        <v>0.45759805665120701</v>
      </c>
      <c r="H23" s="2">
        <v>0.49893593196935998</v>
      </c>
      <c r="I23" s="2">
        <v>0.54146735739228002</v>
      </c>
      <c r="J23" s="2">
        <v>0.58284294791434599</v>
      </c>
      <c r="K23" s="2">
        <v>0.62487434265643604</v>
      </c>
      <c r="L23" s="2">
        <v>0.66090530240093404</v>
      </c>
      <c r="M23" s="2">
        <v>0.69401630381393098</v>
      </c>
      <c r="N23" s="2">
        <v>0.72241125522173</v>
      </c>
      <c r="O23" s="2">
        <v>0.74479494584363104</v>
      </c>
      <c r="P23" s="2">
        <v>0.76225258715159205</v>
      </c>
      <c r="Q23" s="2">
        <v>0.77420086487348205</v>
      </c>
      <c r="R23" s="2">
        <v>0.78053222831184599</v>
      </c>
      <c r="S23" s="2">
        <v>0.78149390591548595</v>
      </c>
      <c r="T23" s="2">
        <v>0.77825747098001197</v>
      </c>
      <c r="U23" s="2">
        <v>0.77227279816296002</v>
      </c>
      <c r="V23" s="2">
        <v>0.762894310503893</v>
      </c>
      <c r="W23" s="2">
        <v>0.74926406774273202</v>
      </c>
      <c r="X23" s="2">
        <v>0.73117106566861001</v>
      </c>
      <c r="Y23" s="2">
        <v>0.70879806613918095</v>
      </c>
      <c r="Z23" s="2">
        <v>0.68265802753551896</v>
      </c>
      <c r="AA23" s="2">
        <v>0.65212923613071305</v>
      </c>
      <c r="AB23" s="2">
        <v>0.61708220463719798</v>
      </c>
      <c r="AC23" s="2">
        <v>0.58165063487408297</v>
      </c>
      <c r="AD23" s="2">
        <v>0.54153196060209197</v>
      </c>
      <c r="AE23" s="2">
        <v>0.502120426583331</v>
      </c>
      <c r="AF23" s="2">
        <v>0.46382350168502501</v>
      </c>
      <c r="AG23" s="2">
        <v>0.42737237404031803</v>
      </c>
      <c r="AH23" s="2">
        <v>0.39563992130234199</v>
      </c>
      <c r="AI23" s="2">
        <v>0.36953744531516403</v>
      </c>
      <c r="AJ23" s="2">
        <v>0.35011354827816898</v>
      </c>
      <c r="AK23" s="2">
        <v>0.33839801919691198</v>
      </c>
      <c r="AL23" s="2">
        <v>0.33594762187714799</v>
      </c>
    </row>
    <row r="24" spans="1:38" x14ac:dyDescent="0.2">
      <c r="B24" s="13"/>
      <c r="C24" s="13"/>
      <c r="D24" s="13"/>
      <c r="E24" s="13"/>
      <c r="F24" s="13"/>
      <c r="G24" s="13"/>
      <c r="H24" s="13"/>
      <c r="I24" s="13"/>
      <c r="J24" s="13"/>
      <c r="K24" s="13"/>
      <c r="L24" s="13"/>
      <c r="M24" s="13"/>
      <c r="N24" s="13"/>
    </row>
    <row r="25" spans="1:38" x14ac:dyDescent="0.2">
      <c r="B25" s="13"/>
      <c r="C25" s="13"/>
      <c r="D25" s="13"/>
      <c r="E25" s="13"/>
      <c r="F25" s="13"/>
      <c r="G25" s="13"/>
      <c r="H25" s="13"/>
      <c r="I25" s="13"/>
      <c r="J25" s="13"/>
      <c r="K25" s="13"/>
      <c r="L25" s="13"/>
      <c r="M25" s="13"/>
      <c r="N25" s="13"/>
    </row>
    <row r="26" spans="1:38" x14ac:dyDescent="0.2">
      <c r="B26" s="13"/>
      <c r="C26" s="13"/>
      <c r="D26" s="13"/>
      <c r="E26" s="13"/>
      <c r="F26" s="13"/>
      <c r="G26" s="13"/>
      <c r="H26" s="13"/>
      <c r="I26" s="13"/>
      <c r="J26" s="13"/>
      <c r="K26" s="13"/>
      <c r="L26" s="13"/>
      <c r="M26" s="13"/>
      <c r="N26" s="13"/>
    </row>
    <row r="27" spans="1:38" x14ac:dyDescent="0.2">
      <c r="B27" s="13"/>
      <c r="C27" s="13"/>
      <c r="D27" s="13"/>
      <c r="E27" s="13"/>
      <c r="F27" s="13"/>
      <c r="G27" s="13"/>
      <c r="H27" s="13"/>
      <c r="I27" s="13"/>
      <c r="J27" s="13"/>
      <c r="K27" s="13"/>
      <c r="L27" s="13"/>
      <c r="M27" s="13"/>
      <c r="N27" s="13"/>
    </row>
    <row r="28" spans="1:38" x14ac:dyDescent="0.2">
      <c r="B28" s="13"/>
      <c r="C28" s="13"/>
      <c r="D28" s="13"/>
      <c r="E28" s="13"/>
      <c r="F28" s="13"/>
      <c r="G28" s="13"/>
      <c r="H28" s="13"/>
      <c r="I28" s="13"/>
      <c r="J28" s="13"/>
      <c r="K28" s="13"/>
      <c r="L28" s="13"/>
      <c r="M28" s="13"/>
      <c r="N28" s="13"/>
    </row>
    <row r="29" spans="1:38" x14ac:dyDescent="0.2">
      <c r="B29" s="13"/>
      <c r="C29" s="13"/>
      <c r="D29" s="13"/>
      <c r="E29" s="13"/>
      <c r="F29" s="13"/>
      <c r="G29" s="13"/>
      <c r="H29" s="13"/>
      <c r="I29" s="13"/>
      <c r="J29" s="13"/>
      <c r="K29" s="13"/>
      <c r="L29" s="13"/>
      <c r="M29" s="13"/>
      <c r="N29" s="13"/>
    </row>
  </sheetData>
  <sheetProtection algorithmName="SHA-512" hashValue="bPOhICNYXfPNw4uiHzaAFPuLnS84ztNMVrV3ym1DhJN48vmyFw+V/KbkoRXi6tJeHy691XULyUr/VWn4Y/KzTQ==" saltValue="dWFMvlmNtejUf+MycAZ11w==" spinCount="100000" sheet="1" objects="1" scenarios="1" autoFilter="0"/>
  <conditionalFormatting sqref="B5:AL23">
    <cfRule type="colorScale" priority="3">
      <colorScale>
        <cfvo type="min"/>
        <cfvo type="max"/>
        <color rgb="FF63BE7B"/>
        <color rgb="FFFCFCFF"/>
      </colorScale>
    </cfRule>
  </conditionalFormatting>
  <pageMargins left="0.7" right="0.7" top="0.78740157499999996" bottom="0.78740157499999996"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69612-EDE7-4287-9540-17D538BE98FD}">
  <sheetPr codeName="Tabelle4"/>
  <dimension ref="A1:G32"/>
  <sheetViews>
    <sheetView workbookViewId="0">
      <selection activeCell="B73" sqref="B73"/>
    </sheetView>
  </sheetViews>
  <sheetFormatPr baseColWidth="10" defaultRowHeight="12.75" x14ac:dyDescent="0.2"/>
  <sheetData>
    <row r="1" spans="1:7" ht="31.5" x14ac:dyDescent="0.2">
      <c r="A1" s="225" t="s">
        <v>381</v>
      </c>
      <c r="B1" s="225" t="s">
        <v>377</v>
      </c>
      <c r="C1" s="225" t="s">
        <v>376</v>
      </c>
      <c r="D1" s="225" t="s">
        <v>373</v>
      </c>
      <c r="E1" s="225" t="s">
        <v>375</v>
      </c>
      <c r="F1" s="225" t="s">
        <v>374</v>
      </c>
      <c r="G1" s="225" t="s">
        <v>372</v>
      </c>
    </row>
    <row r="2" spans="1:7" ht="15.75" x14ac:dyDescent="0.2">
      <c r="A2" s="226">
        <v>0</v>
      </c>
      <c r="B2" s="226">
        <v>100</v>
      </c>
      <c r="C2" s="226">
        <v>100</v>
      </c>
      <c r="D2" s="226">
        <v>100</v>
      </c>
      <c r="E2" s="226">
        <v>100</v>
      </c>
      <c r="F2" s="226">
        <v>100</v>
      </c>
      <c r="G2" s="226">
        <v>100</v>
      </c>
    </row>
    <row r="3" spans="1:7" ht="15.75" x14ac:dyDescent="0.2">
      <c r="A3" s="226">
        <v>10</v>
      </c>
      <c r="B3" s="226">
        <v>93</v>
      </c>
      <c r="C3" s="226">
        <v>100</v>
      </c>
      <c r="D3" s="226">
        <v>99</v>
      </c>
      <c r="E3" s="226">
        <v>99</v>
      </c>
      <c r="F3" s="226">
        <v>97</v>
      </c>
      <c r="G3" s="226">
        <v>100</v>
      </c>
    </row>
    <row r="4" spans="1:7" ht="15.75" x14ac:dyDescent="0.2">
      <c r="A4" s="226">
        <v>20</v>
      </c>
      <c r="B4" s="226">
        <v>80</v>
      </c>
      <c r="C4" s="226">
        <v>95</v>
      </c>
      <c r="D4" s="226">
        <v>93</v>
      </c>
      <c r="E4" s="226">
        <v>94</v>
      </c>
      <c r="F4" s="226">
        <v>88</v>
      </c>
      <c r="G4" s="226">
        <v>98</v>
      </c>
    </row>
    <row r="5" spans="1:7" ht="15.75" x14ac:dyDescent="0.2">
      <c r="A5" s="226">
        <v>30</v>
      </c>
      <c r="B5" s="226">
        <v>67</v>
      </c>
      <c r="C5" s="226">
        <v>81</v>
      </c>
      <c r="D5" s="226">
        <v>87</v>
      </c>
      <c r="E5" s="226">
        <v>88</v>
      </c>
      <c r="F5" s="226">
        <v>79</v>
      </c>
      <c r="G5" s="226">
        <v>90</v>
      </c>
    </row>
    <row r="6" spans="1:7" ht="15.75" x14ac:dyDescent="0.2">
      <c r="A6" s="226">
        <v>40</v>
      </c>
      <c r="B6" s="226">
        <v>57</v>
      </c>
      <c r="C6" s="226">
        <v>69</v>
      </c>
      <c r="D6" s="226">
        <v>77</v>
      </c>
      <c r="E6" s="226">
        <v>78</v>
      </c>
      <c r="F6" s="226">
        <v>69</v>
      </c>
      <c r="G6" s="226">
        <v>80</v>
      </c>
    </row>
    <row r="7" spans="1:7" ht="15.75" x14ac:dyDescent="0.2">
      <c r="A7" s="226">
        <v>50</v>
      </c>
      <c r="B7" s="226">
        <v>50</v>
      </c>
      <c r="C7" s="226">
        <v>58</v>
      </c>
      <c r="D7" s="226">
        <v>68</v>
      </c>
      <c r="E7" s="226">
        <v>68</v>
      </c>
      <c r="F7" s="226">
        <v>60</v>
      </c>
      <c r="G7" s="226">
        <v>71</v>
      </c>
    </row>
    <row r="8" spans="1:7" ht="15.75" x14ac:dyDescent="0.2">
      <c r="A8" s="226">
        <v>60</v>
      </c>
      <c r="B8" s="226">
        <v>44</v>
      </c>
      <c r="C8" s="226">
        <v>51</v>
      </c>
      <c r="D8" s="226">
        <v>61</v>
      </c>
      <c r="E8" s="226">
        <v>61</v>
      </c>
      <c r="F8" s="226">
        <v>54</v>
      </c>
      <c r="G8" s="226">
        <v>64</v>
      </c>
    </row>
    <row r="9" spans="1:7" ht="15.75" x14ac:dyDescent="0.2">
      <c r="A9" s="226">
        <v>70</v>
      </c>
      <c r="B9" s="226">
        <v>39</v>
      </c>
      <c r="C9" s="226">
        <v>45</v>
      </c>
      <c r="D9" s="226">
        <v>55</v>
      </c>
      <c r="E9" s="226">
        <v>55</v>
      </c>
      <c r="F9" s="226">
        <v>49</v>
      </c>
      <c r="G9" s="226">
        <v>58</v>
      </c>
    </row>
    <row r="10" spans="1:7" ht="15.75" x14ac:dyDescent="0.2">
      <c r="A10" s="226">
        <v>80</v>
      </c>
      <c r="B10" s="226">
        <v>36</v>
      </c>
      <c r="C10" s="226">
        <v>40</v>
      </c>
      <c r="D10" s="226">
        <v>50</v>
      </c>
      <c r="E10" s="226">
        <v>50</v>
      </c>
      <c r="F10" s="226">
        <v>45</v>
      </c>
      <c r="G10" s="226">
        <v>53</v>
      </c>
    </row>
    <row r="11" spans="1:7" ht="15.75" x14ac:dyDescent="0.2">
      <c r="A11" s="226">
        <v>90</v>
      </c>
      <c r="B11" s="226">
        <v>33</v>
      </c>
      <c r="C11" s="226">
        <v>37</v>
      </c>
      <c r="D11" s="226">
        <v>46</v>
      </c>
      <c r="E11" s="226">
        <v>46</v>
      </c>
      <c r="F11" s="226">
        <v>42</v>
      </c>
      <c r="G11" s="226">
        <v>49</v>
      </c>
    </row>
    <row r="12" spans="1:7" ht="15.75" x14ac:dyDescent="0.2">
      <c r="A12" s="226">
        <v>100</v>
      </c>
      <c r="B12" s="226">
        <v>31</v>
      </c>
      <c r="C12" s="226">
        <v>35</v>
      </c>
      <c r="D12" s="226">
        <v>43</v>
      </c>
      <c r="E12" s="226">
        <v>44</v>
      </c>
      <c r="F12" s="226">
        <v>39</v>
      </c>
      <c r="G12" s="226">
        <v>45</v>
      </c>
    </row>
    <row r="13" spans="1:7" ht="15.75" x14ac:dyDescent="0.2">
      <c r="A13" s="226">
        <v>110</v>
      </c>
      <c r="B13" s="226">
        <v>29</v>
      </c>
      <c r="C13" s="226">
        <v>32</v>
      </c>
      <c r="D13" s="226">
        <v>40</v>
      </c>
      <c r="E13" s="226">
        <v>41</v>
      </c>
      <c r="F13" s="226">
        <v>36</v>
      </c>
      <c r="G13" s="226">
        <v>42</v>
      </c>
    </row>
    <row r="14" spans="1:7" ht="15.75" x14ac:dyDescent="0.2">
      <c r="A14" s="226">
        <v>120</v>
      </c>
      <c r="B14" s="226">
        <v>27</v>
      </c>
      <c r="C14" s="226">
        <v>30</v>
      </c>
      <c r="D14" s="226">
        <v>38</v>
      </c>
      <c r="E14" s="226">
        <v>38</v>
      </c>
      <c r="F14" s="226">
        <v>34</v>
      </c>
      <c r="G14" s="226">
        <v>39</v>
      </c>
    </row>
    <row r="15" spans="1:7" ht="15.75" x14ac:dyDescent="0.2">
      <c r="A15" s="226">
        <v>130</v>
      </c>
      <c r="B15" s="226">
        <v>26</v>
      </c>
      <c r="C15" s="226">
        <v>28</v>
      </c>
      <c r="D15" s="226">
        <v>35</v>
      </c>
      <c r="E15" s="226">
        <v>36</v>
      </c>
      <c r="F15" s="226">
        <v>32</v>
      </c>
      <c r="G15" s="226">
        <v>37</v>
      </c>
    </row>
    <row r="16" spans="1:7" ht="15.75" x14ac:dyDescent="0.2">
      <c r="A16" s="226">
        <v>140</v>
      </c>
      <c r="B16" s="226">
        <v>24</v>
      </c>
      <c r="C16" s="226">
        <v>26</v>
      </c>
      <c r="D16" s="226">
        <v>33</v>
      </c>
      <c r="E16" s="226">
        <v>34</v>
      </c>
      <c r="F16" s="226">
        <v>30</v>
      </c>
      <c r="G16" s="226">
        <v>35</v>
      </c>
    </row>
    <row r="17" spans="1:7" ht="15.75" x14ac:dyDescent="0.2">
      <c r="A17" s="226">
        <v>150</v>
      </c>
      <c r="B17" s="226">
        <v>23</v>
      </c>
      <c r="C17" s="226">
        <v>25</v>
      </c>
      <c r="D17" s="226">
        <v>31</v>
      </c>
      <c r="E17" s="226">
        <v>32</v>
      </c>
      <c r="F17" s="226">
        <v>29</v>
      </c>
      <c r="G17" s="226">
        <v>33</v>
      </c>
    </row>
    <row r="18" spans="1:7" ht="15.75" x14ac:dyDescent="0.2">
      <c r="A18" s="226">
        <v>160</v>
      </c>
      <c r="B18" s="226">
        <v>22</v>
      </c>
      <c r="C18" s="226">
        <v>24</v>
      </c>
      <c r="D18" s="226">
        <v>30</v>
      </c>
      <c r="E18" s="226">
        <v>31</v>
      </c>
      <c r="F18" s="226">
        <v>28</v>
      </c>
      <c r="G18" s="226">
        <v>31</v>
      </c>
    </row>
    <row r="19" spans="1:7" ht="15.75" x14ac:dyDescent="0.2">
      <c r="A19" s="226">
        <v>170</v>
      </c>
      <c r="B19" s="226">
        <v>21</v>
      </c>
      <c r="C19" s="226">
        <v>23</v>
      </c>
      <c r="D19" s="226">
        <v>28</v>
      </c>
      <c r="E19" s="226">
        <v>29</v>
      </c>
      <c r="F19" s="226">
        <v>27</v>
      </c>
      <c r="G19" s="226">
        <v>30</v>
      </c>
    </row>
    <row r="20" spans="1:7" ht="15.75" x14ac:dyDescent="0.2">
      <c r="A20" s="226">
        <v>180</v>
      </c>
      <c r="B20" s="226">
        <v>20</v>
      </c>
      <c r="C20" s="226">
        <v>22</v>
      </c>
      <c r="D20" s="226">
        <v>27</v>
      </c>
      <c r="E20" s="226">
        <v>28</v>
      </c>
      <c r="F20" s="226">
        <v>25</v>
      </c>
      <c r="G20" s="226">
        <v>28</v>
      </c>
    </row>
    <row r="21" spans="1:7" ht="15.75" x14ac:dyDescent="0.2">
      <c r="A21" s="226">
        <v>190</v>
      </c>
      <c r="B21" s="226">
        <v>19</v>
      </c>
      <c r="C21" s="226">
        <v>21</v>
      </c>
      <c r="D21" s="226">
        <v>26</v>
      </c>
      <c r="E21" s="226">
        <v>27</v>
      </c>
      <c r="F21" s="226">
        <v>24</v>
      </c>
      <c r="G21" s="226">
        <v>27</v>
      </c>
    </row>
    <row r="22" spans="1:7" ht="15.75" x14ac:dyDescent="0.2">
      <c r="A22" s="226">
        <v>200</v>
      </c>
      <c r="B22" s="226">
        <v>19</v>
      </c>
      <c r="C22" s="226">
        <v>20</v>
      </c>
      <c r="D22" s="226">
        <v>25</v>
      </c>
      <c r="E22" s="226">
        <v>26</v>
      </c>
      <c r="F22" s="226">
        <v>23</v>
      </c>
      <c r="G22" s="226">
        <v>26</v>
      </c>
    </row>
    <row r="23" spans="1:7" ht="15.75" x14ac:dyDescent="0.2">
      <c r="A23" s="226">
        <v>210</v>
      </c>
      <c r="B23" s="226">
        <v>18</v>
      </c>
      <c r="C23" s="226">
        <v>19</v>
      </c>
      <c r="D23" s="226">
        <v>24</v>
      </c>
      <c r="E23" s="226">
        <v>25</v>
      </c>
      <c r="F23" s="226">
        <v>22</v>
      </c>
      <c r="G23" s="226">
        <v>25</v>
      </c>
    </row>
    <row r="24" spans="1:7" ht="15.75" x14ac:dyDescent="0.2">
      <c r="A24" s="226">
        <v>220</v>
      </c>
      <c r="B24" s="226">
        <v>17</v>
      </c>
      <c r="C24" s="226">
        <v>18</v>
      </c>
      <c r="D24" s="226">
        <v>23</v>
      </c>
      <c r="E24" s="226">
        <v>24</v>
      </c>
      <c r="F24" s="226">
        <v>21</v>
      </c>
      <c r="G24" s="226">
        <v>24</v>
      </c>
    </row>
    <row r="25" spans="1:7" ht="15.75" x14ac:dyDescent="0.2">
      <c r="A25" s="226">
        <v>230</v>
      </c>
      <c r="B25" s="226">
        <v>17</v>
      </c>
      <c r="C25" s="226">
        <v>17</v>
      </c>
      <c r="D25" s="226">
        <v>22</v>
      </c>
      <c r="E25" s="226">
        <v>23</v>
      </c>
      <c r="F25" s="226">
        <v>20</v>
      </c>
      <c r="G25" s="226">
        <v>23</v>
      </c>
    </row>
    <row r="26" spans="1:7" ht="15.75" x14ac:dyDescent="0.2">
      <c r="A26" s="226">
        <v>240</v>
      </c>
      <c r="B26" s="226">
        <v>16</v>
      </c>
      <c r="C26" s="226">
        <v>17</v>
      </c>
      <c r="D26" s="226">
        <v>21</v>
      </c>
      <c r="E26" s="226">
        <v>22</v>
      </c>
      <c r="F26" s="226">
        <v>20</v>
      </c>
      <c r="G26" s="226">
        <v>22</v>
      </c>
    </row>
    <row r="27" spans="1:7" ht="15.75" x14ac:dyDescent="0.2">
      <c r="A27" s="226">
        <v>250</v>
      </c>
      <c r="B27" s="226">
        <v>16</v>
      </c>
      <c r="C27" s="226">
        <v>16</v>
      </c>
      <c r="D27" s="226">
        <v>20</v>
      </c>
      <c r="E27" s="226">
        <v>21</v>
      </c>
      <c r="F27" s="226">
        <v>19</v>
      </c>
      <c r="G27" s="226">
        <v>21</v>
      </c>
    </row>
    <row r="28" spans="1:7" ht="15.75" x14ac:dyDescent="0.2">
      <c r="A28" s="226">
        <v>260</v>
      </c>
      <c r="B28" s="226">
        <v>15</v>
      </c>
      <c r="C28" s="226">
        <v>16</v>
      </c>
      <c r="D28" s="226">
        <v>20</v>
      </c>
      <c r="E28" s="226">
        <v>20</v>
      </c>
      <c r="F28" s="226">
        <v>18</v>
      </c>
      <c r="G28" s="226">
        <v>20</v>
      </c>
    </row>
    <row r="29" spans="1:7" ht="15.75" x14ac:dyDescent="0.2">
      <c r="A29" s="226">
        <v>270</v>
      </c>
      <c r="B29" s="226">
        <v>15</v>
      </c>
      <c r="C29" s="226">
        <v>15</v>
      </c>
      <c r="D29" s="226">
        <v>19</v>
      </c>
      <c r="E29" s="226">
        <v>19</v>
      </c>
      <c r="F29" s="226">
        <v>18</v>
      </c>
      <c r="G29" s="226">
        <v>20</v>
      </c>
    </row>
    <row r="30" spans="1:7" ht="15.75" x14ac:dyDescent="0.2">
      <c r="A30" s="226">
        <v>280</v>
      </c>
      <c r="B30" s="226">
        <v>14</v>
      </c>
      <c r="C30" s="226">
        <v>15</v>
      </c>
      <c r="D30" s="226">
        <v>18</v>
      </c>
      <c r="E30" s="226">
        <v>19</v>
      </c>
      <c r="F30" s="226">
        <v>17</v>
      </c>
      <c r="G30" s="226">
        <v>19</v>
      </c>
    </row>
    <row r="31" spans="1:7" ht="15.75" x14ac:dyDescent="0.2">
      <c r="A31" s="226">
        <v>290</v>
      </c>
      <c r="B31" s="226">
        <v>14</v>
      </c>
      <c r="C31" s="226">
        <v>14</v>
      </c>
      <c r="D31" s="226">
        <v>18</v>
      </c>
      <c r="E31" s="226">
        <v>18</v>
      </c>
      <c r="F31" s="226">
        <v>17</v>
      </c>
      <c r="G31" s="226">
        <v>19</v>
      </c>
    </row>
    <row r="32" spans="1:7" ht="15.75" x14ac:dyDescent="0.2">
      <c r="A32" s="226">
        <v>300</v>
      </c>
      <c r="B32" s="226">
        <v>13</v>
      </c>
      <c r="C32" s="226">
        <v>14</v>
      </c>
      <c r="D32" s="226">
        <v>17</v>
      </c>
      <c r="E32" s="226">
        <v>18</v>
      </c>
      <c r="F32" s="226">
        <v>16</v>
      </c>
      <c r="G32" s="226">
        <v>18</v>
      </c>
    </row>
  </sheetData>
  <sheetProtection algorithmName="SHA-512" hashValue="D63H1NnXeMYp2Bkax8H0R+yhV2P4+1tbNapdxONRkr7Md3jqiZZ451Wlae5Dek2nu4I4xUF4ZfxrnurF9ICRHA==" saltValue="3i7IGeI9LuBxn/igJ19vlg==" spinCount="100000" sheet="1" objects="1" scenarios="1" autoFilter="0"/>
  <pageMargins left="0.7" right="0.7" top="0.78740157499999996" bottom="0.78740157499999996"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D4B63-90E3-447D-B7BD-388AC43D4F9C}">
  <sheetPr codeName="Tabelle23"/>
  <dimension ref="A1:D38"/>
  <sheetViews>
    <sheetView view="pageLayout" zoomScaleNormal="100" workbookViewId="0">
      <selection activeCell="D10" sqref="D10"/>
    </sheetView>
  </sheetViews>
  <sheetFormatPr baseColWidth="10" defaultRowHeight="12.75" x14ac:dyDescent="0.2"/>
  <cols>
    <col min="1" max="1" width="4.140625" style="257" customWidth="1"/>
    <col min="4" max="4" width="65.85546875" customWidth="1"/>
  </cols>
  <sheetData>
    <row r="1" spans="2:4" x14ac:dyDescent="0.2">
      <c r="B1" s="256" t="s">
        <v>245</v>
      </c>
    </row>
    <row r="2" spans="2:4" ht="38.25" x14ac:dyDescent="0.2">
      <c r="B2" s="139">
        <v>46002</v>
      </c>
      <c r="C2" s="1" t="s">
        <v>247</v>
      </c>
      <c r="D2" s="140" t="s">
        <v>248</v>
      </c>
    </row>
    <row r="3" spans="2:4" ht="25.5" x14ac:dyDescent="0.2">
      <c r="B3" s="139">
        <v>46042</v>
      </c>
      <c r="C3" s="1" t="s">
        <v>246</v>
      </c>
      <c r="D3" s="140" t="s">
        <v>249</v>
      </c>
    </row>
    <row r="4" spans="2:4" ht="63.75" x14ac:dyDescent="0.2">
      <c r="B4" s="139">
        <v>46174</v>
      </c>
      <c r="C4" s="1" t="s">
        <v>250</v>
      </c>
      <c r="D4" s="140" t="s">
        <v>262</v>
      </c>
    </row>
    <row r="5" spans="2:4" ht="127.5" x14ac:dyDescent="0.2">
      <c r="B5" s="139">
        <v>46190</v>
      </c>
      <c r="C5" s="1" t="s">
        <v>269</v>
      </c>
      <c r="D5" s="140" t="s">
        <v>354</v>
      </c>
    </row>
    <row r="6" spans="2:4" x14ac:dyDescent="0.2">
      <c r="B6" s="139">
        <v>46210</v>
      </c>
      <c r="C6" s="1" t="s">
        <v>361</v>
      </c>
      <c r="D6" s="1" t="s">
        <v>360</v>
      </c>
    </row>
    <row r="7" spans="2:4" ht="71.25" x14ac:dyDescent="0.2">
      <c r="B7" s="139">
        <v>46217</v>
      </c>
      <c r="C7" s="1" t="s">
        <v>388</v>
      </c>
      <c r="D7" s="243" t="s">
        <v>389</v>
      </c>
    </row>
    <row r="8" spans="2:4" ht="89.25" x14ac:dyDescent="0.2">
      <c r="B8" s="139">
        <v>46237</v>
      </c>
      <c r="C8" s="1" t="s">
        <v>398</v>
      </c>
      <c r="D8" s="140" t="s">
        <v>417</v>
      </c>
    </row>
    <row r="9" spans="2:4" x14ac:dyDescent="0.2">
      <c r="B9" s="139">
        <v>46280</v>
      </c>
      <c r="C9" s="1" t="s">
        <v>438</v>
      </c>
      <c r="D9" s="1" t="s">
        <v>439</v>
      </c>
    </row>
    <row r="10" spans="2:4" ht="25.5" x14ac:dyDescent="0.2">
      <c r="B10" s="139">
        <v>46283</v>
      </c>
      <c r="C10" s="1" t="s">
        <v>547</v>
      </c>
      <c r="D10" s="140" t="s">
        <v>548</v>
      </c>
    </row>
    <row r="11" spans="2:4" x14ac:dyDescent="0.2">
      <c r="B11" s="1"/>
      <c r="C11" s="1"/>
      <c r="D11" s="1"/>
    </row>
    <row r="12" spans="2:4" x14ac:dyDescent="0.2">
      <c r="B12" s="1"/>
      <c r="C12" s="1"/>
      <c r="D12" s="1"/>
    </row>
    <row r="13" spans="2:4" x14ac:dyDescent="0.2">
      <c r="B13" s="1"/>
      <c r="C13" s="1"/>
      <c r="D13" s="1"/>
    </row>
    <row r="14" spans="2:4" x14ac:dyDescent="0.2">
      <c r="B14" s="1"/>
      <c r="C14" s="1"/>
      <c r="D14" s="1"/>
    </row>
    <row r="15" spans="2:4" x14ac:dyDescent="0.2">
      <c r="B15" s="1"/>
      <c r="C15" s="1"/>
      <c r="D15" s="1"/>
    </row>
    <row r="16" spans="2:4" x14ac:dyDescent="0.2">
      <c r="B16" s="1"/>
      <c r="C16" s="1"/>
      <c r="D16" s="1"/>
    </row>
    <row r="17" spans="2:4" x14ac:dyDescent="0.2">
      <c r="B17" s="1"/>
      <c r="C17" s="1"/>
      <c r="D17" s="1"/>
    </row>
    <row r="18" spans="2:4" x14ac:dyDescent="0.2">
      <c r="B18" s="1"/>
      <c r="C18" s="1"/>
      <c r="D18" s="1"/>
    </row>
    <row r="19" spans="2:4" x14ac:dyDescent="0.2">
      <c r="B19" s="1"/>
      <c r="C19" s="1"/>
      <c r="D19" s="1"/>
    </row>
    <row r="20" spans="2:4" x14ac:dyDescent="0.2">
      <c r="B20" s="1"/>
      <c r="C20" s="1"/>
      <c r="D20" s="1"/>
    </row>
    <row r="21" spans="2:4" x14ac:dyDescent="0.2">
      <c r="B21" s="1"/>
      <c r="C21" s="1"/>
      <c r="D21" s="1"/>
    </row>
    <row r="22" spans="2:4" x14ac:dyDescent="0.2">
      <c r="B22" s="1"/>
      <c r="C22" s="1"/>
      <c r="D22" s="1"/>
    </row>
    <row r="23" spans="2:4" x14ac:dyDescent="0.2">
      <c r="B23" s="1"/>
      <c r="C23" s="1"/>
      <c r="D23" s="1"/>
    </row>
    <row r="24" spans="2:4" x14ac:dyDescent="0.2">
      <c r="B24" s="1"/>
      <c r="C24" s="1"/>
      <c r="D24" s="1"/>
    </row>
    <row r="25" spans="2:4" x14ac:dyDescent="0.2">
      <c r="B25" s="1"/>
      <c r="C25" s="1"/>
      <c r="D25" s="1"/>
    </row>
    <row r="26" spans="2:4" x14ac:dyDescent="0.2">
      <c r="B26" s="1"/>
      <c r="C26" s="1"/>
      <c r="D26" s="1"/>
    </row>
    <row r="27" spans="2:4" x14ac:dyDescent="0.2">
      <c r="B27" s="1"/>
      <c r="C27" s="1"/>
      <c r="D27" s="1"/>
    </row>
    <row r="28" spans="2:4" x14ac:dyDescent="0.2">
      <c r="B28" s="1"/>
      <c r="C28" s="1"/>
      <c r="D28" s="1"/>
    </row>
    <row r="29" spans="2:4" x14ac:dyDescent="0.2">
      <c r="B29" s="1"/>
      <c r="C29" s="1"/>
      <c r="D29" s="1"/>
    </row>
    <row r="30" spans="2:4" x14ac:dyDescent="0.2">
      <c r="B30" s="1"/>
      <c r="C30" s="1"/>
      <c r="D30" s="1"/>
    </row>
    <row r="31" spans="2:4" x14ac:dyDescent="0.2">
      <c r="B31" s="1"/>
      <c r="C31" s="1"/>
      <c r="D31" s="1"/>
    </row>
    <row r="32" spans="2:4" x14ac:dyDescent="0.2">
      <c r="B32" s="1"/>
      <c r="C32" s="1"/>
      <c r="D32" s="1"/>
    </row>
    <row r="33" spans="2:4" x14ac:dyDescent="0.2">
      <c r="B33" s="1"/>
      <c r="C33" s="1"/>
      <c r="D33" s="1"/>
    </row>
    <row r="34" spans="2:4" x14ac:dyDescent="0.2">
      <c r="B34" s="1"/>
      <c r="C34" s="1"/>
      <c r="D34" s="1"/>
    </row>
    <row r="35" spans="2:4" x14ac:dyDescent="0.2">
      <c r="B35" s="1"/>
      <c r="C35" s="1"/>
      <c r="D35" s="1"/>
    </row>
    <row r="36" spans="2:4" x14ac:dyDescent="0.2">
      <c r="B36" s="1"/>
      <c r="C36" s="1"/>
      <c r="D36" s="1"/>
    </row>
    <row r="37" spans="2:4" x14ac:dyDescent="0.2">
      <c r="B37" s="1"/>
      <c r="C37" s="1"/>
      <c r="D37" s="1"/>
    </row>
    <row r="38" spans="2:4" x14ac:dyDescent="0.2">
      <c r="B38" s="1"/>
      <c r="C38" s="1"/>
      <c r="D38" s="1"/>
    </row>
  </sheetData>
  <sheetProtection algorithmName="SHA-512" hashValue="NgR3rOqcHVYUAP3kBhov6/WnxONRIQO97YRhfXPXGGFWWjxuWKErzhTkOL0tnxOnIZ/Zqn2jvdGli0jfRCJ0tQ==" saltValue="dQe4ZjPpmufd3gCJGscAJw==" spinCount="100000" sheet="1" objects="1" scenarios="1" autoFilter="0"/>
  <pageMargins left="0.55118110236220474" right="0.51181102362204722" top="0.74803149606299213" bottom="0.70866141732283472" header="0.31496062992125984" footer="0.31496062992125984"/>
  <pageSetup paperSize="9" orientation="portrait" r:id="rId1"/>
  <headerFooter>
    <oddHeader>&amp;L&amp;8         Planungshilfe Nachweis wirtschaftliche Unverhältnismässigkeit</oddHeader>
    <oddFooter>&amp;L&amp;8         &amp;P | &amp;N&amp;R&amp;8Nächste Revision 12.12.2026</oddFooter>
    <firstHeader>&amp;L&amp;G</first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BC7845BFDAA8943A41E4CCA77A798CF" ma:contentTypeVersion="16" ma:contentTypeDescription="Create a new document." ma:contentTypeScope="" ma:versionID="6c73fcc6bfe4a917a1023bb451f5dd7c">
  <xsd:schema xmlns:xsd="http://www.w3.org/2001/XMLSchema" xmlns:xs="http://www.w3.org/2001/XMLSchema" xmlns:p="http://schemas.microsoft.com/office/2006/metadata/properties" xmlns:ns2="5fb89ce3-52f9-4a82-ad11-328030203f07" xmlns:ns3="988398db-6a81-4dea-85da-b1d36c96a0b4" targetNamespace="http://schemas.microsoft.com/office/2006/metadata/properties" ma:root="true" ma:fieldsID="a3d3c476f30eb44e22b44d53b64bb6ec" ns2:_="" ns3:_="">
    <xsd:import namespace="5fb89ce3-52f9-4a82-ad11-328030203f07"/>
    <xsd:import namespace="988398db-6a81-4dea-85da-b1d36c96a0b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b89ce3-52f9-4a82-ad11-328030203f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4d9c2d5-c5c3-4c7a-85a4-91095d1af475"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8398db-6a81-4dea-85da-b1d36c96a0b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f8f189c-bcbd-440c-b78a-28f37c0c721e}" ma:internalName="TaxCatchAll" ma:showField="CatchAllData" ma:web="988398db-6a81-4dea-85da-b1d36c96a0b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b89ce3-52f9-4a82-ad11-328030203f07">
      <Terms xmlns="http://schemas.microsoft.com/office/infopath/2007/PartnerControls"/>
    </lcf76f155ced4ddcb4097134ff3c332f>
    <TaxCatchAll xmlns="988398db-6a81-4dea-85da-b1d36c96a0b4" xsi:nil="true"/>
  </documentManagement>
</p:properties>
</file>

<file path=customXml/itemProps1.xml><?xml version="1.0" encoding="utf-8"?>
<ds:datastoreItem xmlns:ds="http://schemas.openxmlformats.org/officeDocument/2006/customXml" ds:itemID="{B2261865-7C2C-4073-9B04-98A93C44ADA5}">
  <ds:schemaRefs>
    <ds:schemaRef ds:uri="http://schemas.microsoft.com/sharepoint/v3/contenttype/forms"/>
  </ds:schemaRefs>
</ds:datastoreItem>
</file>

<file path=customXml/itemProps2.xml><?xml version="1.0" encoding="utf-8"?>
<ds:datastoreItem xmlns:ds="http://schemas.openxmlformats.org/officeDocument/2006/customXml" ds:itemID="{FF78EBEB-8DBD-4C18-B902-31FC36E392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b89ce3-52f9-4a82-ad11-328030203f07"/>
    <ds:schemaRef ds:uri="988398db-6a81-4dea-85da-b1d36c96a0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F1FCC3-60D7-4D31-8F80-9313A95AA02A}">
  <ds:schemaRefs>
    <ds:schemaRef ds:uri="http://schemas.microsoft.com/office/2006/metadata/properties"/>
    <ds:schemaRef ds:uri="988398db-6a81-4dea-85da-b1d36c96a0b4"/>
    <ds:schemaRef ds:uri="http://purl.org/dc/terms/"/>
    <ds:schemaRef ds:uri="http://schemas.openxmlformats.org/package/2006/metadata/core-properties"/>
    <ds:schemaRef ds:uri="http://schemas.microsoft.com/office/infopath/2007/PartnerControls"/>
    <ds:schemaRef ds:uri="5fb89ce3-52f9-4a82-ad11-328030203f07"/>
    <ds:schemaRef ds:uri="http://schemas.microsoft.com/office/2006/documentManagement/types"/>
    <ds:schemaRef ds:uri="http://purl.org/dc/elements/1.1/"/>
    <ds:schemaRef ds:uri="http://www.w3.org/XML/1998/namespace"/>
    <ds:schemaRef ds:uri="http://purl.org/dc/dcmitype/"/>
    <ds:schemaRef ds:uri="bc24777f-78b6-4f3c-a73a-d5fa08e4d537"/>
    <ds:schemaRef ds:uri="c9077d15-72ed-4fec-bcfe-3472729e919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96</vt:i4>
      </vt:variant>
    </vt:vector>
  </HeadingPairs>
  <TitlesOfParts>
    <vt:vector size="114" baseType="lpstr">
      <vt:lpstr>Inhalt</vt:lpstr>
      <vt:lpstr>1 Gesetzliche Grundlagen</vt:lpstr>
      <vt:lpstr>2 Kurzanleitung</vt:lpstr>
      <vt:lpstr>3 Bericht</vt:lpstr>
      <vt:lpstr>4 Datengrundlage</vt:lpstr>
      <vt:lpstr>Dachfläche (1)</vt:lpstr>
      <vt:lpstr>Dachfläche (2)</vt:lpstr>
      <vt:lpstr>Dachfläche (3)</vt:lpstr>
      <vt:lpstr>Dachfläche (4)</vt:lpstr>
      <vt:lpstr>Dachfläche (5)</vt:lpstr>
      <vt:lpstr>Dachfläche (6)</vt:lpstr>
      <vt:lpstr>Anhang</vt:lpstr>
      <vt:lpstr>Basisdaten</vt:lpstr>
      <vt:lpstr>Wirtschaftlichkeit_t.Vb.</vt:lpstr>
      <vt:lpstr>Wirtschaftlichkeit_g.Min.</vt:lpstr>
      <vt:lpstr>Faktor Ausrichtung</vt:lpstr>
      <vt:lpstr>Faktor Eigenverbrauch</vt:lpstr>
      <vt:lpstr>Versionshinweise</vt:lpstr>
      <vt:lpstr>_Adresse</vt:lpstr>
      <vt:lpstr>_Amortisationszeit_g.Min.</vt:lpstr>
      <vt:lpstr>_Amortisationszeit_t.Vb.</vt:lpstr>
      <vt:lpstr>_Anf_Amortisation</vt:lpstr>
      <vt:lpstr>_Anlageleistung_g.Min.</vt:lpstr>
      <vt:lpstr>_Anlageleistung_t.Vb.</vt:lpstr>
      <vt:lpstr>_Aufpreis_Blendarm</vt:lpstr>
      <vt:lpstr>_Bez_Modul_Blendarm</vt:lpstr>
      <vt:lpstr>_Bez_Modul_Standard</vt:lpstr>
      <vt:lpstr>_Bonus_Blendarm_Stadt</vt:lpstr>
      <vt:lpstr>_Bonus_Gründach_Stadt</vt:lpstr>
      <vt:lpstr>_Bonus_Neigungswinkel_Bund</vt:lpstr>
      <vt:lpstr>_Bonus_Pp_pronovo</vt:lpstr>
      <vt:lpstr>_Bonus_Steil_Stadt</vt:lpstr>
      <vt:lpstr>'Dachfläche (1)'!_Dach_Typ</vt:lpstr>
      <vt:lpstr>'Dachfläche (2)'!_Dach_Typ</vt:lpstr>
      <vt:lpstr>'Dachfläche (3)'!_Dach_Typ</vt:lpstr>
      <vt:lpstr>'Dachfläche (4)'!_Dach_Typ</vt:lpstr>
      <vt:lpstr>'Dachfläche (5)'!_Dach_Typ</vt:lpstr>
      <vt:lpstr>'Dachfläche (6)'!_Dach_Typ</vt:lpstr>
      <vt:lpstr>_Datum_IBS</vt:lpstr>
      <vt:lpstr>_Degradation_pro_Jahr_Standard</vt:lpstr>
      <vt:lpstr>_Degradation_Standard</vt:lpstr>
      <vt:lpstr>_Dok_Titel</vt:lpstr>
      <vt:lpstr>_EF_Ansatz</vt:lpstr>
      <vt:lpstr>_EF_g.Min.</vt:lpstr>
      <vt:lpstr>_EF_g.Min._Rechenwert</vt:lpstr>
      <vt:lpstr>_EF_t</vt:lpstr>
      <vt:lpstr>_EF_t.Vb.</vt:lpstr>
      <vt:lpstr>_EF_t.Vb._Rechenwert</vt:lpstr>
      <vt:lpstr>_EingabePV</vt:lpstr>
      <vt:lpstr>_EIV_g.Min.</vt:lpstr>
      <vt:lpstr>_EIV_g.Min._Rechenwert</vt:lpstr>
      <vt:lpstr>_EIV_t.Vb.</vt:lpstr>
      <vt:lpstr>_EIV_t.Vb._Rechenwert</vt:lpstr>
      <vt:lpstr>_EIV_t_auszahlung</vt:lpstr>
      <vt:lpstr>_ENG_Basisdaten</vt:lpstr>
      <vt:lpstr>_ENG_Rechenwert_g.Min.</vt:lpstr>
      <vt:lpstr>_ENG_Rechenwert_t.Vb.</vt:lpstr>
      <vt:lpstr>_Ertrag_g.Min.</vt:lpstr>
      <vt:lpstr>_Ertrag_t.Vb.</vt:lpstr>
      <vt:lpstr>_Faktor_Ausrichtung</vt:lpstr>
      <vt:lpstr>_Formularversion</vt:lpstr>
      <vt:lpstr>_Gesamtkosten_g.Min.</vt:lpstr>
      <vt:lpstr>_Gesamtkosten_t.Vb.</vt:lpstr>
      <vt:lpstr>_Investitionskosten_g.Min.</vt:lpstr>
      <vt:lpstr>_Investitionskosten_t.Vb.</vt:lpstr>
      <vt:lpstr>_Kap_Verzinsung</vt:lpstr>
      <vt:lpstr>_Lastprofil_Typ</vt:lpstr>
      <vt:lpstr>_Lebensdauer</vt:lpstr>
      <vt:lpstr>_Letzte_REV</vt:lpstr>
      <vt:lpstr>_Liste_Blendung</vt:lpstr>
      <vt:lpstr>_Liste_Dachtypen</vt:lpstr>
      <vt:lpstr>_Liste_Zusatznutzung</vt:lpstr>
      <vt:lpstr>_Modulbreite_Blendarm</vt:lpstr>
      <vt:lpstr>_Modulbreite_Standard</vt:lpstr>
      <vt:lpstr>_Modullänge_Blendarm</vt:lpstr>
      <vt:lpstr>_Modullänge_Standard</vt:lpstr>
      <vt:lpstr>_Modulleistung_Blendarm</vt:lpstr>
      <vt:lpstr>_Modulleistung_Standard</vt:lpstr>
      <vt:lpstr>_MWSt_Faktor</vt:lpstr>
      <vt:lpstr>_MWSt_pflichtig</vt:lpstr>
      <vt:lpstr>_MWSt_Satz</vt:lpstr>
      <vt:lpstr>_Nächste_REV</vt:lpstr>
      <vt:lpstr>_Neigungswinkel_für_NB_Bund</vt:lpstr>
      <vt:lpstr>_Netzversorger</vt:lpstr>
      <vt:lpstr>_PLZ</vt:lpstr>
      <vt:lpstr>_Projektname</vt:lpstr>
      <vt:lpstr>_Projekttyp</vt:lpstr>
      <vt:lpstr>_RasterAzimut</vt:lpstr>
      <vt:lpstr>_RasterNeigung</vt:lpstr>
      <vt:lpstr>_Referenzkosten_g.Min._exkl</vt:lpstr>
      <vt:lpstr>_Referenzkosten_t.Vb._exkl</vt:lpstr>
      <vt:lpstr>_Reflektionstyp</vt:lpstr>
      <vt:lpstr>_Schwelle_PPBonus</vt:lpstr>
      <vt:lpstr>_Spez_Ertrag_Standort</vt:lpstr>
      <vt:lpstr>_Tabelle_F_Ausrichtung</vt:lpstr>
      <vt:lpstr>_Tarif_Bezug</vt:lpstr>
      <vt:lpstr>_Tarif_Rücklieferung</vt:lpstr>
      <vt:lpstr>_Tarif_Unterhalt_Basisdaten</vt:lpstr>
      <vt:lpstr>_Tarif_Unterhalt_Rechenwert_g.Min.</vt:lpstr>
      <vt:lpstr>_Tarif_Unterhalt_Rechenwert_t.Vb.</vt:lpstr>
      <vt:lpstr>_Verbrauch</vt:lpstr>
      <vt:lpstr>_zul_Amortisationszeit</vt:lpstr>
      <vt:lpstr>'1 Gesetzliche Grundlagen'!Druckbereich</vt:lpstr>
      <vt:lpstr>'2 Kurzanleitung'!Druckbereich</vt:lpstr>
      <vt:lpstr>'3 Bericht'!Druckbereich</vt:lpstr>
      <vt:lpstr>'4 Datengrundlage'!Druckbereich</vt:lpstr>
      <vt:lpstr>Anhang!Druckbereich</vt:lpstr>
      <vt:lpstr>'Dachfläche (1)'!Druckbereich</vt:lpstr>
      <vt:lpstr>'Dachfläche (2)'!Druckbereich</vt:lpstr>
      <vt:lpstr>'Dachfläche (3)'!Druckbereich</vt:lpstr>
      <vt:lpstr>'Dachfläche (4)'!Druckbereich</vt:lpstr>
      <vt:lpstr>'Dachfläche (5)'!Druckbereich</vt:lpstr>
      <vt:lpstr>'Dachfläche (6)'!Druckbereich</vt:lpstr>
      <vt:lpstr>Inhalt!Druckbereich</vt:lpstr>
    </vt:vector>
  </TitlesOfParts>
  <Company>BE Netz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 Vonesch</dc:creator>
  <cp:lastModifiedBy>Scherrer Thomas (UWS)</cp:lastModifiedBy>
  <cp:lastPrinted>2026-11-02T08:44:33Z</cp:lastPrinted>
  <dcterms:created xsi:type="dcterms:W3CDTF">2013-03-05T10:44:26Z</dcterms:created>
  <dcterms:modified xsi:type="dcterms:W3CDTF">2026-11-02T15:24:10Z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0x0101005BC7845BFDAA8943A41E4CCA77A798CF</vt:lpwstr>
  </property>
  <property fmtid="{D5CDD505-2E9C-101B-9397-08002B2CF9AE}" pid="3" name="MediaServiceImageTags">
    <vt:lpwstr/>
  </property>
  <property fmtid="{D5CDD505-2E9C-101B-9397-08002B2CF9AE}" pid="4" name="TBCO_ScreenResolution">
    <vt:lpwstr>96 96 1920 1080</vt:lpwstr>
  </property>
</Properties>
</file>