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file01.stadtluzern.ch\Users II$\MeierR2\CMI\f4d7d292ec8e4e3dac29c250bf675cca\"/>
    </mc:Choice>
  </mc:AlternateContent>
  <xr:revisionPtr revIDLastSave="0" documentId="13_ncr:1_{4706FD69-413A-4C15-88DC-C12FB264509C}" xr6:coauthVersionLast="47" xr6:coauthVersionMax="47" xr10:uidLastSave="{00000000-0000-0000-0000-000000000000}"/>
  <workbookProtection workbookAlgorithmName="SHA-512" workbookHashValue="aLVJ2LCro0MVQAkE1qWUFAq/P7Ykwk5Ex4uzH/BJPiigx23jVcaUuXQco+bSgQxu3FPtJ4OmruQDzJ8OGpqY/A==" workbookSaltValue="T8B91axHhjDjwXFROD3gAw==" workbookSpinCount="100000" lockStructure="1"/>
  <bookViews>
    <workbookView xWindow="-120" yWindow="-120" windowWidth="29040" windowHeight="15720" tabRatio="818" xr2:uid="{00000000-000D-0000-FFFF-FFFF00000000}"/>
  </bookViews>
  <sheets>
    <sheet name="Berechnung" sheetId="1" r:id="rId1"/>
    <sheet name="Grafik Resultat" sheetId="20" r:id="rId2"/>
    <sheet name="Quellen" sheetId="4" r:id="rId3"/>
    <sheet name="GWR" sheetId="17" state="hidden" r:id="rId4"/>
    <sheet name="Berechnungsgrundlagen" sheetId="7" state="hidden" r:id="rId5"/>
    <sheet name="2.1 Nutzungsgrad" sheetId="8" state="hidden" r:id="rId6"/>
    <sheet name="2.3 Energiepreise" sheetId="12" state="hidden" r:id="rId7"/>
    <sheet name="2.3 Gaspreis ewl" sheetId="14" state="hidden" r:id="rId8"/>
    <sheet name="2.3 Strompreis" sheetId="15" state="hidden" r:id="rId9"/>
    <sheet name="2.3 Preis Wärmenetze" sheetId="16" state="hidden" r:id="rId10"/>
    <sheet name="3-4 Investitionskosten" sheetId="9" state="hidden" r:id="rId11"/>
    <sheet name="5 Vorauss. Förderbeitrag" sheetId="5" state="hidden" r:id="rId12"/>
    <sheet name="6.1 Raumbedarf" sheetId="18" state="hidden" r:id="rId13"/>
    <sheet name="7.1 Kalkulationszinssatz" sheetId="3" state="hidden" r:id="rId14"/>
    <sheet name="Log-Journal" sheetId="13" state="hidden" r:id="rId15"/>
  </sheets>
  <definedNames>
    <definedName name="Adresse">CONCATENATE(Berechnung!$D$7," ", Berechnung!$H$7," ",Berechnung!$I$7)</definedName>
    <definedName name="Alternativen1_ref">Berechnungsgrundlagen!$B$61:$B$68</definedName>
    <definedName name="Alternativen2_ref">Berechnungsgrundlagen!$B$69:$B$70</definedName>
    <definedName name="Anzahl_Jahre">#REF!</definedName>
    <definedName name="Bauvorhaben_ref">Berechnungsgrundlagen!$B$54:$B$56</definedName>
    <definedName name="Beilagen">Berechnungsgrundlagen!$B$163:$B$163</definedName>
    <definedName name="Betriebszeit">Berechnungsgrundlagen!$C$26</definedName>
    <definedName name="_xlnm.Print_Area" localSheetId="0">Berechnung!$B$1:$Q$81</definedName>
    <definedName name="EBF">Berechnung!$M$15</definedName>
    <definedName name="Energiepreise_ref">Berechnungsgrundlagen!$B$73:$F$81</definedName>
    <definedName name="ESW">Berechnung!$K$12</definedName>
    <definedName name="Faktor">'6.1 Raumbedarf'!$C$5</definedName>
    <definedName name="Fernwärme_Invest_ref">'3-4 Investitionskosten'!$B$4:$G$8</definedName>
    <definedName name="Förderbeiträge">Berechnungsgrundlagen!$B$100:$G$107</definedName>
    <definedName name="Förderbeiträge_SLU">Berechnungsgrundlagen!$B$110:$G$116</definedName>
    <definedName name="Gasheizung_Invest_ref">'3-4 Investitionskosten'!$B$44:$G$48</definedName>
    <definedName name="GEAK_Klasse">Berechnung!$K$20</definedName>
    <definedName name="Gebäudekategorie_ref">Berechnungsgrundlagen!$B$2:$B$14</definedName>
    <definedName name="Heizgradtage">Berechnungsgrundlagen!$C$25</definedName>
    <definedName name="Investition_ref">Berechnungsgrundlagen!$B$88:$F$96</definedName>
    <definedName name="Minergie">Berechnung!$K$19</definedName>
    <definedName name="MWST">'2.3 Energiepreise'!$D$12</definedName>
    <definedName name="NEB">IF(Berechnung!$O$18&gt;0,Berechnung!$O$18,Berechnung!$M$18)</definedName>
    <definedName name="NEB_manuell">Berechnung!$O$18</definedName>
    <definedName name="Nutzungsgrad_max">Berechnungsgrundlagen!$B$73:$E$81</definedName>
    <definedName name="Nutzungsgrad_ref">Berechnungsgrundlagen!$B$73:$E$81</definedName>
    <definedName name="Nutzungsgrad_Tabelle">'2.1 Nutzungsgrad'!$B$4:$G$49</definedName>
    <definedName name="Oelheizung_Invest_ref">'3-4 Investitionskosten'!$B$39:$G$43</definedName>
    <definedName name="Pellets_Invest_ref">'3-4 Investitionskosten'!$B$29:$G$33</definedName>
    <definedName name="Preis_Fernwärme_ref">Berechnungsgrundlagen!$B$84:$C$85</definedName>
    <definedName name="Raumbedarf_ref">Berechnungsgrundlagen!$B$120:$C$128</definedName>
    <definedName name="Schnitzel_Invest_ref">'3-4 Investitionskosten'!$B$34:$G$38</definedName>
    <definedName name="See_Energie_Invest_ref">'3-4 Investitionskosten'!$D$81:$G$81</definedName>
    <definedName name="Spez_Raumkosten">Berechnungsgrundlagen!$C$130</definedName>
    <definedName name="Strompreis_ref">'2.3 Energiepreise'!$B$18:$D$47</definedName>
    <definedName name="Stromprodukt">'Grafik Resultat'!$J$8</definedName>
    <definedName name="Stromverbrauch_ref">Berechnungsgrundlagen!$B$2:$C$14</definedName>
    <definedName name="System_1">Berechnung!$E$25</definedName>
    <definedName name="System_2">Berechnung!$G$25</definedName>
    <definedName name="System_3">IF(Berechnung!$I$25="Biogas","Gasheizung",Berechnung!$I$25)</definedName>
    <definedName name="System_4">Berechnung!$K$25</definedName>
    <definedName name="System_5">Berechnung!$M$25</definedName>
    <definedName name="System_6">Berechnung!$O$25</definedName>
    <definedName name="Ta">Berechnungsgrundlagen!$C$31</definedName>
    <definedName name="Table4">Table2425[]</definedName>
    <definedName name="Teuerungsindex">'2.3 Energiepreise'!$D$13</definedName>
    <definedName name="Ti">Berechnungsgrundlagen!$C$27</definedName>
    <definedName name="Wärmeerzeugerleistung">Berechnung!$M$16</definedName>
    <definedName name="Wärmenetz">IF(Wärmenetz_möglich="Ja",Berechnung!$K$22,"")</definedName>
    <definedName name="Wärmenetz_möglich">Berechnung!$K$21</definedName>
    <definedName name="Wärmeverteil">Berechnung!#REF!</definedName>
    <definedName name="Warmwasserbedarf">Berechnung!$M$17</definedName>
    <definedName name="Warmwasserbedarf_ref">Berechnungsgrundlagen!$B$3:$D$14</definedName>
    <definedName name="Warmwasserbedarf_ref2">Berechnung!#REF!</definedName>
    <definedName name="Wartung_Unterhalt_ref">Berechnungsgrundlagen!$B$72:$G$81</definedName>
    <definedName name="WP_Luft__a">Berechnungsgrundlagen!$B$62:$B$68</definedName>
    <definedName name="WP_Luft_Liste">Berechnungsgrundlagen!$B$61:$B$63</definedName>
    <definedName name="WPAbsropt_Invest_ref">'3-4 Investitionskosten'!#REF!</definedName>
    <definedName name="WPLuft_Invest_ref">'3-4 Investitionskosten'!$B$9:$G$13</definedName>
    <definedName name="WPLufti_Invest_ref">'3-4 Investitionskosten'!$B$14:$G$18</definedName>
    <definedName name="WPSonde_Invest_ref">'3-4 Investitionskosten'!$B$19:$G$23</definedName>
    <definedName name="WPWasser_Invest_ref">'3-4 Investitionskosten'!$B$24:$G$28</definedName>
    <definedName name="WPZeolyth_Invest_ref">'3-4 Investitionskosten'!#REF!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7" i="7" l="1"/>
  <c r="B175" i="7"/>
  <c r="B174" i="7"/>
  <c r="B173" i="7"/>
  <c r="B172" i="7"/>
  <c r="B171" i="7"/>
  <c r="B170" i="7"/>
  <c r="B169" i="7"/>
  <c r="B168" i="7"/>
  <c r="B167" i="7"/>
  <c r="B166" i="7"/>
  <c r="B165" i="7"/>
  <c r="B164" i="7"/>
  <c r="I11" i="12"/>
  <c r="I10" i="12"/>
  <c r="I9" i="12"/>
  <c r="J9" i="12"/>
  <c r="E87" i="16" l="1"/>
  <c r="E88" i="16"/>
  <c r="E89" i="16"/>
  <c r="E90" i="16"/>
  <c r="E91" i="16"/>
  <c r="E92" i="16"/>
  <c r="E93" i="16"/>
  <c r="E94" i="16"/>
  <c r="E95" i="16"/>
  <c r="E96" i="16"/>
  <c r="E101" i="16"/>
  <c r="E102" i="16"/>
  <c r="E103" i="16"/>
  <c r="E104" i="16"/>
  <c r="E105" i="16"/>
  <c r="E106" i="16"/>
  <c r="E107" i="16"/>
  <c r="E108" i="16"/>
  <c r="E109" i="16"/>
  <c r="E42" i="16"/>
  <c r="E43" i="16"/>
  <c r="E44" i="16"/>
  <c r="E45" i="16"/>
  <c r="E46" i="16"/>
  <c r="E47" i="16"/>
  <c r="E48" i="16"/>
  <c r="E30" i="16"/>
  <c r="E31" i="16"/>
  <c r="E32" i="16"/>
  <c r="E33" i="16"/>
  <c r="E34" i="16"/>
  <c r="E35" i="16"/>
  <c r="E36" i="16"/>
  <c r="E37" i="16"/>
  <c r="F34" i="14"/>
  <c r="F45" i="14" s="1"/>
  <c r="F35" i="14"/>
  <c r="F36" i="14"/>
  <c r="F37" i="14"/>
  <c r="F38" i="14"/>
  <c r="F39" i="14"/>
  <c r="F40" i="14"/>
  <c r="F41" i="14"/>
  <c r="F42" i="14"/>
  <c r="F43" i="14"/>
  <c r="F44" i="14"/>
  <c r="G27" i="14"/>
  <c r="G26" i="14"/>
  <c r="G25" i="14"/>
  <c r="G24" i="14"/>
  <c r="G23" i="14"/>
  <c r="G22" i="14"/>
  <c r="G21" i="14"/>
  <c r="G20" i="14"/>
  <c r="C3" i="13"/>
  <c r="E2" i="13" s="1"/>
  <c r="B19" i="5" l="1"/>
  <c r="B17" i="5"/>
  <c r="B15" i="5"/>
  <c r="B6" i="5"/>
  <c r="G34" i="14"/>
  <c r="G35" i="14"/>
  <c r="G36" i="14"/>
  <c r="G37" i="14"/>
  <c r="G38" i="14"/>
  <c r="G39" i="14"/>
  <c r="G40" i="14"/>
  <c r="G41" i="14"/>
  <c r="G42" i="14"/>
  <c r="G43" i="14"/>
  <c r="G44" i="14"/>
  <c r="I18" i="12"/>
  <c r="I20" i="12"/>
  <c r="I22" i="12"/>
  <c r="I24" i="12"/>
  <c r="I26" i="12"/>
  <c r="I28" i="12"/>
  <c r="I30" i="12"/>
  <c r="I32" i="12"/>
  <c r="I34" i="12"/>
  <c r="I36" i="12"/>
  <c r="I38" i="12"/>
  <c r="I40" i="12"/>
  <c r="I42" i="12"/>
  <c r="I44" i="12"/>
  <c r="I46" i="12"/>
  <c r="I51" i="15"/>
  <c r="I53" i="15"/>
  <c r="I55" i="15"/>
  <c r="I57" i="15"/>
  <c r="I59" i="15"/>
  <c r="I61" i="15"/>
  <c r="I63" i="15"/>
  <c r="I65" i="15"/>
  <c r="I67" i="15"/>
  <c r="I69" i="15"/>
  <c r="I71" i="15"/>
  <c r="I73" i="15"/>
  <c r="I75" i="15"/>
  <c r="I77" i="15"/>
  <c r="I79" i="15"/>
  <c r="G45" i="14" l="1"/>
  <c r="C2" i="4" l="1"/>
  <c r="W16" i="1"/>
  <c r="E75" i="12" a="1"/>
  <c r="E75" i="12" s="1"/>
  <c r="F101" i="16" l="1"/>
  <c r="F102" i="16"/>
  <c r="F103" i="16"/>
  <c r="F104" i="16"/>
  <c r="F105" i="16"/>
  <c r="F106" i="16"/>
  <c r="F107" i="16"/>
  <c r="F108" i="16"/>
  <c r="F109" i="16"/>
  <c r="F87" i="16"/>
  <c r="F88" i="16"/>
  <c r="F89" i="16"/>
  <c r="F90" i="16"/>
  <c r="F91" i="16"/>
  <c r="F92" i="16"/>
  <c r="F93" i="16"/>
  <c r="F94" i="16"/>
  <c r="F95" i="16"/>
  <c r="F96" i="16"/>
  <c r="F42" i="16"/>
  <c r="F43" i="16"/>
  <c r="F44" i="16"/>
  <c r="F45" i="16"/>
  <c r="F46" i="16"/>
  <c r="F47" i="16"/>
  <c r="F48" i="16"/>
  <c r="F30" i="16"/>
  <c r="F31" i="16"/>
  <c r="F32" i="16"/>
  <c r="F33" i="16"/>
  <c r="F34" i="16"/>
  <c r="F35" i="16"/>
  <c r="F36" i="16"/>
  <c r="F37" i="16"/>
  <c r="H27" i="14"/>
  <c r="H26" i="14"/>
  <c r="H25" i="14"/>
  <c r="H24" i="14"/>
  <c r="H23" i="14"/>
  <c r="H22" i="14"/>
  <c r="H21" i="14"/>
  <c r="H20" i="14"/>
  <c r="E105" i="7" l="1"/>
  <c r="E103" i="7"/>
  <c r="E104" i="7"/>
  <c r="E102" i="7"/>
  <c r="E107" i="7"/>
  <c r="E106" i="7"/>
  <c r="C10" i="5"/>
  <c r="B4" i="5"/>
  <c r="C101" i="7" s="1"/>
  <c r="G101" i="7" s="1"/>
  <c r="C8" i="5"/>
  <c r="C6" i="5"/>
  <c r="J18" i="12" l="1"/>
  <c r="J20" i="12"/>
  <c r="J22" i="12"/>
  <c r="J24" i="12"/>
  <c r="J26" i="12"/>
  <c r="J28" i="12"/>
  <c r="J30" i="12"/>
  <c r="J32" i="12"/>
  <c r="J34" i="12"/>
  <c r="J36" i="12"/>
  <c r="J38" i="12"/>
  <c r="J40" i="12"/>
  <c r="J42" i="12"/>
  <c r="J44" i="12"/>
  <c r="J46" i="12"/>
  <c r="J51" i="15"/>
  <c r="J53" i="15"/>
  <c r="J55" i="15"/>
  <c r="J57" i="15"/>
  <c r="J59" i="15"/>
  <c r="J61" i="15"/>
  <c r="J63" i="15"/>
  <c r="J65" i="15"/>
  <c r="J67" i="15"/>
  <c r="J69" i="15"/>
  <c r="J71" i="15"/>
  <c r="J73" i="15"/>
  <c r="J75" i="15"/>
  <c r="J77" i="15"/>
  <c r="J79" i="15"/>
  <c r="J10" i="12" l="1"/>
  <c r="J11" i="12" l="1"/>
  <c r="D50" i="18"/>
  <c r="D51" i="18"/>
  <c r="C128" i="7" s="1"/>
  <c r="D52" i="18"/>
  <c r="D53" i="18"/>
  <c r="D54" i="18"/>
  <c r="D55" i="18"/>
  <c r="S6" i="1"/>
  <c r="R34" i="1" l="1"/>
  <c r="D13" i="12" l="1"/>
  <c r="C138" i="7" l="1"/>
  <c r="C140" i="7"/>
  <c r="D12" i="12"/>
  <c r="I16" i="14" l="1"/>
  <c r="I15" i="14"/>
  <c r="I14" i="14"/>
  <c r="I13" i="14"/>
  <c r="I11" i="14"/>
  <c r="I12" i="14"/>
  <c r="I10" i="14"/>
  <c r="I9" i="14"/>
  <c r="I8" i="14"/>
  <c r="I7" i="14"/>
  <c r="I6" i="14"/>
  <c r="I27" i="14"/>
  <c r="I26" i="14"/>
  <c r="I25" i="14"/>
  <c r="I24" i="14"/>
  <c r="I23" i="14"/>
  <c r="I22" i="14"/>
  <c r="I21" i="14"/>
  <c r="I20" i="14"/>
  <c r="K9" i="12" l="1"/>
  <c r="H34" i="14"/>
  <c r="H35" i="14"/>
  <c r="H36" i="14"/>
  <c r="H37" i="14"/>
  <c r="H38" i="14"/>
  <c r="H39" i="14"/>
  <c r="H40" i="14"/>
  <c r="H41" i="14"/>
  <c r="H42" i="14"/>
  <c r="H43" i="14"/>
  <c r="H44" i="14"/>
  <c r="K10" i="12" l="1"/>
  <c r="K11" i="12"/>
  <c r="H45" i="14"/>
  <c r="K51" i="15"/>
  <c r="K18" i="12" s="1"/>
  <c r="K53" i="15"/>
  <c r="K20" i="12" s="1"/>
  <c r="K55" i="15"/>
  <c r="K22" i="12" s="1"/>
  <c r="K57" i="15"/>
  <c r="K24" i="12" s="1"/>
  <c r="K59" i="15"/>
  <c r="K26" i="12" s="1"/>
  <c r="K61" i="15"/>
  <c r="K28" i="12" s="1"/>
  <c r="K63" i="15"/>
  <c r="K30" i="12" s="1"/>
  <c r="K65" i="15"/>
  <c r="K32" i="12" s="1"/>
  <c r="K67" i="15"/>
  <c r="K34" i="12" s="1"/>
  <c r="K69" i="15"/>
  <c r="K36" i="12" s="1"/>
  <c r="K71" i="15"/>
  <c r="K38" i="12" s="1"/>
  <c r="K73" i="15"/>
  <c r="K40" i="12" s="1"/>
  <c r="K75" i="15"/>
  <c r="K42" i="12" s="1"/>
  <c r="K77" i="15"/>
  <c r="K44" i="12" s="1"/>
  <c r="K79" i="15"/>
  <c r="K46" i="12" s="1"/>
  <c r="G87" i="16" l="1"/>
  <c r="G88" i="16"/>
  <c r="G89" i="16"/>
  <c r="G90" i="16"/>
  <c r="G91" i="16"/>
  <c r="G92" i="16"/>
  <c r="G93" i="16"/>
  <c r="G94" i="16"/>
  <c r="G95" i="16"/>
  <c r="G96" i="16"/>
  <c r="G101" i="16"/>
  <c r="G104" i="16"/>
  <c r="G106" i="16"/>
  <c r="G107" i="16"/>
  <c r="G108" i="16"/>
  <c r="G109" i="16"/>
  <c r="G42" i="16"/>
  <c r="G45" i="16"/>
  <c r="G47" i="16"/>
  <c r="G48" i="16"/>
  <c r="G30" i="16"/>
  <c r="G31" i="16"/>
  <c r="G32" i="16"/>
  <c r="G33" i="16"/>
  <c r="G34" i="16"/>
  <c r="G35" i="16"/>
  <c r="G36" i="16"/>
  <c r="G37" i="16"/>
  <c r="F21" i="8" l="1"/>
  <c r="F22" i="8"/>
  <c r="F23" i="8"/>
  <c r="F24" i="8"/>
  <c r="F25" i="8"/>
  <c r="F26" i="8"/>
  <c r="R23" i="1" l="1"/>
  <c r="E2" i="20"/>
  <c r="M2" i="20" l="1"/>
  <c r="C81" i="7"/>
  <c r="H101" i="16" l="1"/>
  <c r="H104" i="16"/>
  <c r="H106" i="16"/>
  <c r="H107" i="16"/>
  <c r="H108" i="16"/>
  <c r="H109" i="16"/>
  <c r="H87" i="16"/>
  <c r="H88" i="16"/>
  <c r="H89" i="16"/>
  <c r="H90" i="16"/>
  <c r="H91" i="16"/>
  <c r="H92" i="16"/>
  <c r="H93" i="16"/>
  <c r="H94" i="16"/>
  <c r="H95" i="16"/>
  <c r="H96" i="16"/>
  <c r="H42" i="16"/>
  <c r="H45" i="16"/>
  <c r="H47" i="16"/>
  <c r="H48" i="16"/>
  <c r="H30" i="16"/>
  <c r="H31" i="16"/>
  <c r="H32" i="16"/>
  <c r="H33" i="16"/>
  <c r="H34" i="16"/>
  <c r="H35" i="16"/>
  <c r="H36" i="16"/>
  <c r="H37" i="16"/>
  <c r="I33" i="16"/>
  <c r="I16" i="1" l="1"/>
  <c r="I34" i="14" l="1"/>
  <c r="I35" i="14"/>
  <c r="I36" i="14"/>
  <c r="I37" i="14"/>
  <c r="I38" i="14"/>
  <c r="I39" i="14"/>
  <c r="I40" i="14"/>
  <c r="I41" i="14"/>
  <c r="I42" i="14"/>
  <c r="I43" i="14"/>
  <c r="I44" i="14"/>
  <c r="O56" i="12"/>
  <c r="M50" i="12"/>
  <c r="I45" i="14" l="1"/>
  <c r="M14" i="1"/>
  <c r="K8" i="20" l="1"/>
  <c r="M17" i="1"/>
  <c r="R32" i="1"/>
  <c r="S10" i="12" l="1"/>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L11" i="12"/>
  <c r="AM11" i="12"/>
  <c r="AN11" i="12"/>
  <c r="AO11" i="12"/>
  <c r="AP11" i="12"/>
  <c r="AQ11" i="12"/>
  <c r="AR11" i="12"/>
  <c r="AS11" i="12"/>
  <c r="S11" i="12"/>
  <c r="T11" i="12"/>
  <c r="U11" i="12"/>
  <c r="V11" i="12"/>
  <c r="W11" i="12"/>
  <c r="X11" i="12"/>
  <c r="Y11" i="12"/>
  <c r="Z11" i="12"/>
  <c r="AA11" i="12"/>
  <c r="AB11" i="12"/>
  <c r="AC11" i="12"/>
  <c r="AD11" i="12"/>
  <c r="AE11" i="12"/>
  <c r="AF11" i="12"/>
  <c r="AG11" i="12"/>
  <c r="AH11" i="12"/>
  <c r="AI11" i="12"/>
  <c r="AJ11" i="12"/>
  <c r="AK11" i="12"/>
  <c r="J10" i="20" l="1"/>
  <c r="D74" i="7" l="1"/>
  <c r="D75" i="7"/>
  <c r="D76" i="7"/>
  <c r="E27" i="1" s="1"/>
  <c r="D77" i="7"/>
  <c r="D78" i="7"/>
  <c r="D79" i="7"/>
  <c r="D80" i="7"/>
  <c r="D81" i="7"/>
  <c r="O27" i="1" s="1"/>
  <c r="D73" i="7"/>
  <c r="C73" i="7"/>
  <c r="C74" i="7"/>
  <c r="C75" i="7"/>
  <c r="C76" i="7"/>
  <c r="C77" i="7"/>
  <c r="C78" i="7"/>
  <c r="C79" i="7"/>
  <c r="C80" i="7"/>
  <c r="G27" i="1" l="1"/>
  <c r="I27" i="1"/>
  <c r="AB14" i="1" l="1"/>
  <c r="F69" i="9" l="1"/>
  <c r="F65" i="9"/>
  <c r="I108" i="16"/>
  <c r="I95" i="16"/>
  <c r="J96" i="16"/>
  <c r="K96" i="16"/>
  <c r="L96" i="16"/>
  <c r="I96" i="16"/>
  <c r="K34" i="14" l="1"/>
  <c r="K36" i="14"/>
  <c r="K37" i="14"/>
  <c r="K38" i="14"/>
  <c r="K39" i="14"/>
  <c r="K40" i="14"/>
  <c r="K41" i="14"/>
  <c r="K42" i="14"/>
  <c r="K43" i="14"/>
  <c r="K44" i="14"/>
  <c r="J44" i="14"/>
  <c r="J36" i="14"/>
  <c r="J37" i="14"/>
  <c r="J38" i="14"/>
  <c r="J39" i="14"/>
  <c r="J40" i="14"/>
  <c r="J41" i="14"/>
  <c r="J42" i="14"/>
  <c r="J43" i="14"/>
  <c r="J34" i="14"/>
  <c r="K27" i="14"/>
  <c r="K26" i="14"/>
  <c r="K25" i="14"/>
  <c r="K24" i="14"/>
  <c r="K23" i="14"/>
  <c r="K22" i="14"/>
  <c r="K21" i="14"/>
  <c r="K20" i="14"/>
  <c r="K16" i="14"/>
  <c r="K15" i="14"/>
  <c r="K14" i="14"/>
  <c r="K13" i="14"/>
  <c r="K12" i="14"/>
  <c r="K11" i="14"/>
  <c r="K10" i="14"/>
  <c r="K9" i="14"/>
  <c r="K8" i="14"/>
  <c r="K7" i="14"/>
  <c r="K35" i="14" s="1"/>
  <c r="K6" i="14"/>
  <c r="J6" i="14"/>
  <c r="K45" i="14" l="1"/>
  <c r="C3" i="18" l="1"/>
  <c r="E74" i="7" l="1"/>
  <c r="E75" i="7"/>
  <c r="E76" i="7"/>
  <c r="E77" i="7"/>
  <c r="E78" i="7"/>
  <c r="E79" i="7"/>
  <c r="E80" i="7"/>
  <c r="E81" i="7"/>
  <c r="E73" i="7"/>
  <c r="R20" i="1"/>
  <c r="Y12" i="1"/>
  <c r="O39" i="1" l="1"/>
  <c r="O41" i="1" l="1"/>
  <c r="M41" i="1"/>
  <c r="J9" i="20"/>
  <c r="P2" i="20" l="1"/>
  <c r="L2" i="20"/>
  <c r="K2" i="20"/>
  <c r="F88" i="7" l="1"/>
  <c r="G79" i="9"/>
  <c r="O7" i="9"/>
  <c r="D7" i="9" s="1"/>
  <c r="T8" i="9"/>
  <c r="S8" i="9"/>
  <c r="F8" i="9" s="1"/>
  <c r="R8" i="9"/>
  <c r="Q8" i="9"/>
  <c r="E8" i="9" s="1"/>
  <c r="P8" i="9"/>
  <c r="O8" i="9"/>
  <c r="D8" i="9" s="1"/>
  <c r="T7" i="9"/>
  <c r="S7" i="9"/>
  <c r="F7" i="9" s="1"/>
  <c r="R7" i="9"/>
  <c r="Q7" i="9"/>
  <c r="E7" i="9" s="1"/>
  <c r="P7" i="9"/>
  <c r="T6" i="9"/>
  <c r="S6" i="9"/>
  <c r="F6" i="9" s="1"/>
  <c r="R6" i="9"/>
  <c r="Q6" i="9"/>
  <c r="E6" i="9" s="1"/>
  <c r="D88" i="7" s="1"/>
  <c r="P6" i="9"/>
  <c r="O6" i="9"/>
  <c r="D6" i="9" s="1"/>
  <c r="T5" i="9"/>
  <c r="S5" i="9"/>
  <c r="F5" i="9" s="1"/>
  <c r="R5" i="9"/>
  <c r="Q5" i="9"/>
  <c r="E5" i="9" s="1"/>
  <c r="P5" i="9"/>
  <c r="O5" i="9"/>
  <c r="D5" i="9" s="1"/>
  <c r="E88" i="7" l="1"/>
  <c r="I109" i="16"/>
  <c r="L51" i="15" l="1"/>
  <c r="L18" i="12" s="1"/>
  <c r="L53" i="15"/>
  <c r="L20" i="12" s="1"/>
  <c r="L55" i="15"/>
  <c r="L22" i="12" s="1"/>
  <c r="L57" i="15"/>
  <c r="L24" i="12" s="1"/>
  <c r="L59" i="15"/>
  <c r="L26" i="12" s="1"/>
  <c r="L61" i="15"/>
  <c r="L28" i="12" s="1"/>
  <c r="L63" i="15"/>
  <c r="L30" i="12" s="1"/>
  <c r="L65" i="15"/>
  <c r="L32" i="12" s="1"/>
  <c r="L67" i="15"/>
  <c r="L34" i="12" s="1"/>
  <c r="L69" i="15"/>
  <c r="L36" i="12" s="1"/>
  <c r="L71" i="15"/>
  <c r="L38" i="12" s="1"/>
  <c r="L73" i="15"/>
  <c r="L40" i="12" s="1"/>
  <c r="L75" i="15"/>
  <c r="L42" i="12" s="1"/>
  <c r="L77" i="15"/>
  <c r="L44" i="12" s="1"/>
  <c r="L79" i="15"/>
  <c r="L46" i="12" s="1"/>
  <c r="I11" i="1" l="1"/>
  <c r="R12" i="1"/>
  <c r="J27" i="14" l="1"/>
  <c r="J26" i="14"/>
  <c r="J25" i="14"/>
  <c r="J24" i="14"/>
  <c r="J23" i="14"/>
  <c r="J22" i="14"/>
  <c r="J21" i="14"/>
  <c r="J20" i="14"/>
  <c r="J16" i="14"/>
  <c r="J15" i="14"/>
  <c r="J14" i="14"/>
  <c r="J13" i="14"/>
  <c r="J12" i="14"/>
  <c r="J11" i="14"/>
  <c r="J10" i="14"/>
  <c r="J9" i="14"/>
  <c r="J8" i="14"/>
  <c r="J7" i="14"/>
  <c r="J35" i="14" s="1"/>
  <c r="N27" i="15"/>
  <c r="N28" i="15"/>
  <c r="N29" i="15"/>
  <c r="N30" i="15"/>
  <c r="N31" i="15"/>
  <c r="N32" i="15"/>
  <c r="N33" i="15"/>
  <c r="N34" i="15"/>
  <c r="N35" i="15"/>
  <c r="N36" i="15"/>
  <c r="N37" i="15"/>
  <c r="N38" i="15"/>
  <c r="N39" i="15"/>
  <c r="N40" i="15"/>
  <c r="N26" i="15"/>
  <c r="K25" i="1" l="1"/>
  <c r="K27" i="1" s="1"/>
  <c r="B1" i="17"/>
  <c r="N2" i="20" l="1"/>
  <c r="M25" i="1"/>
  <c r="M27" i="1" s="1"/>
  <c r="O2" i="20" l="1"/>
  <c r="M39" i="1"/>
  <c r="C62" i="7"/>
  <c r="F2" i="20" l="1"/>
  <c r="D2" i="20"/>
  <c r="J87" i="16" l="1"/>
  <c r="K87" i="16"/>
  <c r="L87" i="16"/>
  <c r="I87" i="16"/>
  <c r="J30" i="16"/>
  <c r="K30" i="16"/>
  <c r="L30" i="16"/>
  <c r="I30" i="16"/>
  <c r="D62" i="9"/>
  <c r="E71" i="9"/>
  <c r="D71" i="9"/>
  <c r="D63" i="9"/>
  <c r="E62" i="9"/>
  <c r="F71" i="9"/>
  <c r="F62" i="9"/>
  <c r="B68" i="7"/>
  <c r="B64" i="7"/>
  <c r="C64" i="7" l="1" a="1"/>
  <c r="C64" i="7" s="1"/>
  <c r="C66" i="7" a="1"/>
  <c r="C66" i="7" s="1"/>
  <c r="C68" i="7" a="1"/>
  <c r="C68" i="7" s="1"/>
  <c r="C63" i="7" a="1"/>
  <c r="C63" i="7" s="1"/>
  <c r="H2" i="20"/>
  <c r="K37" i="1" l="1"/>
  <c r="G2" i="20" l="1"/>
  <c r="M40" i="1"/>
  <c r="G152" i="7" s="1"/>
  <c r="G56" i="12" l="1"/>
  <c r="H56" i="12"/>
  <c r="I56" i="12"/>
  <c r="J56" i="12"/>
  <c r="K56" i="12"/>
  <c r="L56" i="12"/>
  <c r="M56" i="12"/>
  <c r="N56" i="12"/>
  <c r="P56" i="12"/>
  <c r="E56" i="12" l="1"/>
  <c r="D9" i="18"/>
  <c r="D19" i="18"/>
  <c r="D20" i="18"/>
  <c r="D21" i="18"/>
  <c r="D22" i="18"/>
  <c r="D23" i="18"/>
  <c r="D24" i="18"/>
  <c r="D10" i="18"/>
  <c r="D11" i="18"/>
  <c r="D12" i="18"/>
  <c r="D13" i="18"/>
  <c r="D14" i="18"/>
  <c r="D15" i="18"/>
  <c r="C121" i="7" l="1"/>
  <c r="C122" i="7"/>
  <c r="C124" i="7"/>
  <c r="C123" i="7"/>
  <c r="C120" i="7"/>
  <c r="O44" i="1"/>
  <c r="O37" i="1" l="1"/>
  <c r="I37" i="1"/>
  <c r="G37" i="1"/>
  <c r="I5" i="1"/>
  <c r="B3" i="17"/>
  <c r="D3" i="17" l="1"/>
  <c r="B2" i="17"/>
  <c r="C3" i="17" l="1"/>
  <c r="G8" i="1" l="1"/>
  <c r="B5" i="17"/>
  <c r="B6" i="17" s="1"/>
  <c r="D18" i="17" l="1"/>
  <c r="C18" i="17" s="1"/>
  <c r="B18" i="17" s="1"/>
  <c r="D19" i="17"/>
  <c r="C19" i="17" s="1"/>
  <c r="R9" i="1"/>
  <c r="R8" i="1"/>
  <c r="D17" i="17"/>
  <c r="C17" i="17" s="1"/>
  <c r="B17" i="17" s="1"/>
  <c r="D15" i="17"/>
  <c r="C15" i="17" s="1"/>
  <c r="B15" i="17" s="1"/>
  <c r="D14" i="17"/>
  <c r="C14" i="17" s="1"/>
  <c r="B14" i="17" s="1"/>
  <c r="D13" i="17"/>
  <c r="C13" i="17" s="1"/>
  <c r="B13" i="17" s="1"/>
  <c r="D12" i="17"/>
  <c r="C12" i="17" s="1"/>
  <c r="B12" i="17" s="1"/>
  <c r="D11" i="17"/>
  <c r="C11" i="17" s="1"/>
  <c r="B11" i="17" s="1"/>
  <c r="G9" i="1" s="1"/>
  <c r="D10" i="17"/>
  <c r="C10" i="17" s="1"/>
  <c r="B10" i="17" s="1"/>
  <c r="D9" i="17"/>
  <c r="C9" i="17" s="1"/>
  <c r="B9" i="17" s="1"/>
  <c r="D16" i="17"/>
  <c r="C16" i="17" s="1"/>
  <c r="B16" i="17" s="1"/>
  <c r="B19" i="17" l="1"/>
  <c r="N9" i="1" s="1"/>
  <c r="M18" i="1" s="1"/>
  <c r="H41" i="16" s="1"/>
  <c r="G103" i="16"/>
  <c r="G44" i="16"/>
  <c r="G102" i="16"/>
  <c r="G43" i="16"/>
  <c r="H103" i="16"/>
  <c r="H44" i="16"/>
  <c r="H102" i="16"/>
  <c r="H43" i="16"/>
  <c r="N8" i="1"/>
  <c r="E71" i="12"/>
  <c r="D33" i="18" l="1" a="1"/>
  <c r="D33" i="18" s="1"/>
  <c r="C126" i="7" s="1"/>
  <c r="F53" i="14"/>
  <c r="F55" i="14"/>
  <c r="F49" i="14"/>
  <c r="F50" i="14"/>
  <c r="F51" i="14"/>
  <c r="F54" i="14"/>
  <c r="E100" i="16"/>
  <c r="E110" i="16" s="1"/>
  <c r="E112" i="16" s="1"/>
  <c r="I74" i="12" s="1"/>
  <c r="F56" i="14"/>
  <c r="E41" i="16"/>
  <c r="E49" i="16" s="1"/>
  <c r="E51" i="16" s="1"/>
  <c r="I70" i="12" s="1"/>
  <c r="F52" i="14"/>
  <c r="G55" i="14"/>
  <c r="G56" i="14"/>
  <c r="G49" i="14"/>
  <c r="G50" i="14"/>
  <c r="G51" i="14"/>
  <c r="G52" i="14"/>
  <c r="G54" i="14"/>
  <c r="G53" i="14"/>
  <c r="F100" i="16"/>
  <c r="F110" i="16" s="1"/>
  <c r="F41" i="16"/>
  <c r="F49" i="16" s="1"/>
  <c r="F51" i="16" s="1"/>
  <c r="J70" i="12" s="1"/>
  <c r="G41" i="16"/>
  <c r="G49" i="16" s="1"/>
  <c r="G100" i="16"/>
  <c r="H100" i="16"/>
  <c r="J54" i="14"/>
  <c r="K54" i="14"/>
  <c r="H55" i="14"/>
  <c r="E28" i="1"/>
  <c r="K5" i="20" s="1"/>
  <c r="K6" i="20" s="1"/>
  <c r="J52" i="14"/>
  <c r="I54" i="14"/>
  <c r="H105" i="16"/>
  <c r="I53" i="14"/>
  <c r="G46" i="16"/>
  <c r="E44" i="18" a="1"/>
  <c r="E44" i="18" s="1"/>
  <c r="H51" i="14"/>
  <c r="H52" i="14"/>
  <c r="I52" i="14"/>
  <c r="H49" i="14"/>
  <c r="E41" i="18" a="1"/>
  <c r="E41" i="18" s="1"/>
  <c r="K51" i="14"/>
  <c r="J55" i="14"/>
  <c r="H54" i="14"/>
  <c r="J53" i="14"/>
  <c r="H53" i="14"/>
  <c r="K56" i="14"/>
  <c r="J50" i="14"/>
  <c r="N3" i="20"/>
  <c r="G105" i="16"/>
  <c r="J51" i="14"/>
  <c r="I51" i="14"/>
  <c r="H56" i="14"/>
  <c r="E43" i="18" a="1"/>
  <c r="E43" i="18" s="1"/>
  <c r="J49" i="14"/>
  <c r="J56" i="14"/>
  <c r="E40" i="18" a="1"/>
  <c r="E40" i="18" s="1"/>
  <c r="K53" i="14"/>
  <c r="H50" i="14"/>
  <c r="D29" i="18" a="1"/>
  <c r="D29" i="18" s="1"/>
  <c r="C125" i="7" s="1"/>
  <c r="K50" i="14"/>
  <c r="I50" i="14"/>
  <c r="E38" i="18" a="1"/>
  <c r="E38" i="18" s="1"/>
  <c r="K52" i="14"/>
  <c r="I49" i="14"/>
  <c r="E39" i="18" a="1"/>
  <c r="E39" i="18" s="1"/>
  <c r="K49" i="14"/>
  <c r="I56" i="14"/>
  <c r="E42" i="18" a="1"/>
  <c r="E42" i="18" s="1"/>
  <c r="K55" i="14"/>
  <c r="I55" i="14"/>
  <c r="H46" i="16"/>
  <c r="H49" i="16" s="1"/>
  <c r="I106" i="16"/>
  <c r="J106" i="16"/>
  <c r="K106" i="16"/>
  <c r="L106" i="16"/>
  <c r="J109" i="16"/>
  <c r="K109" i="16"/>
  <c r="L109" i="16"/>
  <c r="I90" i="16"/>
  <c r="J90" i="16"/>
  <c r="K90" i="16"/>
  <c r="L90" i="16"/>
  <c r="I91" i="16"/>
  <c r="J91" i="16"/>
  <c r="K91" i="16"/>
  <c r="L91" i="16"/>
  <c r="I92" i="16"/>
  <c r="J92" i="16"/>
  <c r="K92" i="16"/>
  <c r="L92" i="16"/>
  <c r="I93" i="16"/>
  <c r="J93" i="16"/>
  <c r="K93" i="16"/>
  <c r="L93" i="16"/>
  <c r="I94" i="16"/>
  <c r="J94" i="16"/>
  <c r="K94" i="16"/>
  <c r="L94" i="16"/>
  <c r="J95" i="16"/>
  <c r="K95" i="16"/>
  <c r="L95" i="16"/>
  <c r="L89" i="16"/>
  <c r="K89" i="16"/>
  <c r="J89" i="16"/>
  <c r="I89" i="16"/>
  <c r="L88" i="16"/>
  <c r="K88" i="16"/>
  <c r="J88" i="16"/>
  <c r="I88" i="16"/>
  <c r="I31" i="16"/>
  <c r="J37" i="16"/>
  <c r="K37" i="16"/>
  <c r="L37" i="16"/>
  <c r="I37" i="16"/>
  <c r="I32" i="16"/>
  <c r="J32" i="16"/>
  <c r="K32" i="16"/>
  <c r="L32" i="16"/>
  <c r="J33" i="16"/>
  <c r="K33" i="16"/>
  <c r="L33" i="16"/>
  <c r="I34" i="16"/>
  <c r="J34" i="16"/>
  <c r="K34" i="16"/>
  <c r="L34" i="16"/>
  <c r="I35" i="16"/>
  <c r="J35" i="16"/>
  <c r="K35" i="16"/>
  <c r="L35" i="16"/>
  <c r="I36" i="16"/>
  <c r="J36" i="16"/>
  <c r="K36" i="16"/>
  <c r="L36" i="16"/>
  <c r="J31" i="16"/>
  <c r="K31" i="16"/>
  <c r="L31" i="16"/>
  <c r="I81" i="9"/>
  <c r="J81" i="9"/>
  <c r="K81" i="9"/>
  <c r="L81" i="9"/>
  <c r="M81" i="9"/>
  <c r="D73" i="9"/>
  <c r="E73" i="9"/>
  <c r="F73" i="9"/>
  <c r="G73" i="9"/>
  <c r="D74" i="9"/>
  <c r="E74" i="9"/>
  <c r="F74" i="9"/>
  <c r="G74" i="9"/>
  <c r="D75" i="9"/>
  <c r="E75" i="9"/>
  <c r="F75" i="9"/>
  <c r="G75" i="9"/>
  <c r="D76" i="9"/>
  <c r="E76" i="9"/>
  <c r="F76" i="9"/>
  <c r="G76" i="9"/>
  <c r="D77" i="9"/>
  <c r="E77" i="9"/>
  <c r="F77" i="9"/>
  <c r="G77" i="9"/>
  <c r="D78" i="9"/>
  <c r="E78" i="9"/>
  <c r="F78" i="9"/>
  <c r="G78" i="9"/>
  <c r="D79" i="9"/>
  <c r="E79" i="9"/>
  <c r="F79" i="9"/>
  <c r="D80" i="9"/>
  <c r="E80" i="9"/>
  <c r="F80" i="9"/>
  <c r="G80" i="9"/>
  <c r="E72" i="9"/>
  <c r="F72" i="9"/>
  <c r="G72" i="9"/>
  <c r="D72" i="9"/>
  <c r="G71" i="9"/>
  <c r="G62" i="9"/>
  <c r="D64" i="9"/>
  <c r="E64" i="9"/>
  <c r="F64" i="9"/>
  <c r="G64" i="9"/>
  <c r="D65" i="9"/>
  <c r="E65" i="9"/>
  <c r="G65" i="9"/>
  <c r="D66" i="9"/>
  <c r="E66" i="9"/>
  <c r="F66" i="9"/>
  <c r="G66" i="9"/>
  <c r="D67" i="9"/>
  <c r="E67" i="9"/>
  <c r="F67" i="9"/>
  <c r="G67" i="9"/>
  <c r="D68" i="9"/>
  <c r="E68" i="9"/>
  <c r="F68" i="9"/>
  <c r="G68" i="9"/>
  <c r="D69" i="9"/>
  <c r="E69" i="9"/>
  <c r="G69" i="9"/>
  <c r="E63" i="9"/>
  <c r="F63" i="9"/>
  <c r="G63" i="9"/>
  <c r="P22" i="9"/>
  <c r="G110" i="16" l="1"/>
  <c r="G112" i="16" s="1"/>
  <c r="K74" i="12" s="1"/>
  <c r="F57" i="14"/>
  <c r="F59" i="14" s="1"/>
  <c r="I66" i="12" s="1"/>
  <c r="H110" i="16"/>
  <c r="H112" i="16" s="1"/>
  <c r="L74" i="12" s="1"/>
  <c r="G57" i="14"/>
  <c r="G59" i="14" s="1"/>
  <c r="J66" i="12" s="1"/>
  <c r="C127" i="7"/>
  <c r="K3" i="20"/>
  <c r="I57" i="14"/>
  <c r="I59" i="14" s="1"/>
  <c r="L66" i="12" s="1"/>
  <c r="H57" i="14"/>
  <c r="H59" i="14" s="1"/>
  <c r="K66" i="12" s="1"/>
  <c r="K57" i="14"/>
  <c r="K59" i="14" s="1"/>
  <c r="N66" i="12" s="1"/>
  <c r="E81" i="9"/>
  <c r="G81" i="9"/>
  <c r="D81" i="9"/>
  <c r="F81" i="9"/>
  <c r="E70" i="9"/>
  <c r="F70" i="9"/>
  <c r="G70" i="9"/>
  <c r="D70" i="9"/>
  <c r="G4" i="9" l="1"/>
  <c r="O66" i="12"/>
  <c r="P66" i="12"/>
  <c r="G8" i="9"/>
  <c r="G7" i="9"/>
  <c r="G6" i="9"/>
  <c r="G5" i="9"/>
  <c r="M51" i="15"/>
  <c r="M18" i="12" s="1"/>
  <c r="M53" i="15"/>
  <c r="M20" i="12" s="1"/>
  <c r="M55" i="15"/>
  <c r="M22" i="12" s="1"/>
  <c r="M57" i="15"/>
  <c r="M24" i="12" s="1"/>
  <c r="M59" i="15"/>
  <c r="M26" i="12" s="1"/>
  <c r="M61" i="15"/>
  <c r="M28" i="12" s="1"/>
  <c r="M63" i="15"/>
  <c r="M30" i="12" s="1"/>
  <c r="M65" i="15"/>
  <c r="M32" i="12" s="1"/>
  <c r="M67" i="15"/>
  <c r="M34" i="12" s="1"/>
  <c r="M69" i="15"/>
  <c r="M36" i="12" s="1"/>
  <c r="M71" i="15"/>
  <c r="M38" i="12" s="1"/>
  <c r="M73" i="15"/>
  <c r="M40" i="12" s="1"/>
  <c r="M75" i="15"/>
  <c r="M42" i="12" s="1"/>
  <c r="M77" i="15"/>
  <c r="M44" i="12" s="1"/>
  <c r="M79" i="15"/>
  <c r="M46" i="12" s="1"/>
  <c r="C88" i="7" l="1"/>
  <c r="P32" i="12"/>
  <c r="P36" i="12"/>
  <c r="P38" i="12"/>
  <c r="P40" i="12"/>
  <c r="Q36" i="12"/>
  <c r="N59" i="15"/>
  <c r="N26" i="12" s="1"/>
  <c r="N51" i="15"/>
  <c r="N18" i="12" s="1"/>
  <c r="E18" i="12" s="1"/>
  <c r="N53" i="15"/>
  <c r="N20" i="12" s="1"/>
  <c r="N55" i="15"/>
  <c r="N22" i="12" s="1"/>
  <c r="N57" i="15"/>
  <c r="N24" i="12" s="1"/>
  <c r="N61" i="15"/>
  <c r="N28" i="12" s="1"/>
  <c r="N63" i="15"/>
  <c r="N30" i="12" s="1"/>
  <c r="N65" i="15"/>
  <c r="N32" i="12" s="1"/>
  <c r="N67" i="15"/>
  <c r="N34" i="12" s="1"/>
  <c r="N69" i="15"/>
  <c r="N36" i="12" s="1"/>
  <c r="N71" i="15"/>
  <c r="N38" i="12" s="1"/>
  <c r="N73" i="15"/>
  <c r="N40" i="12" s="1"/>
  <c r="N75" i="15"/>
  <c r="N42" i="12" s="1"/>
  <c r="N77" i="15"/>
  <c r="N44" i="12" s="1"/>
  <c r="N79" i="15"/>
  <c r="N46" i="12" s="1"/>
  <c r="O51" i="15"/>
  <c r="O18" i="12" s="1"/>
  <c r="P51" i="15"/>
  <c r="P18" i="12" s="1"/>
  <c r="O53" i="15"/>
  <c r="O20" i="12" s="1"/>
  <c r="P53" i="15"/>
  <c r="P20" i="12" s="1"/>
  <c r="O55" i="15"/>
  <c r="O22" i="12" s="1"/>
  <c r="P55" i="15"/>
  <c r="P22" i="12" s="1"/>
  <c r="O57" i="15"/>
  <c r="O24" i="12" s="1"/>
  <c r="P57" i="15"/>
  <c r="P24" i="12" s="1"/>
  <c r="O59" i="15"/>
  <c r="O26" i="12" s="1"/>
  <c r="P59" i="15"/>
  <c r="P26" i="12" s="1"/>
  <c r="O61" i="15"/>
  <c r="O28" i="12" s="1"/>
  <c r="P61" i="15"/>
  <c r="P28" i="12" s="1"/>
  <c r="O63" i="15"/>
  <c r="O30" i="12" s="1"/>
  <c r="P63" i="15"/>
  <c r="P30" i="12" s="1"/>
  <c r="O65" i="15"/>
  <c r="O32" i="12" s="1"/>
  <c r="P65" i="15"/>
  <c r="O67" i="15"/>
  <c r="O34" i="12" s="1"/>
  <c r="P67" i="15"/>
  <c r="P34" i="12" s="1"/>
  <c r="O69" i="15"/>
  <c r="O36" i="12" s="1"/>
  <c r="P69" i="15"/>
  <c r="O71" i="15"/>
  <c r="O38" i="12" s="1"/>
  <c r="P71" i="15"/>
  <c r="O73" i="15"/>
  <c r="O40" i="12" s="1"/>
  <c r="P73" i="15"/>
  <c r="O75" i="15"/>
  <c r="O42" i="12" s="1"/>
  <c r="P75" i="15"/>
  <c r="P42" i="12" s="1"/>
  <c r="O77" i="15"/>
  <c r="O44" i="12" s="1"/>
  <c r="P77" i="15"/>
  <c r="P44" i="12" s="1"/>
  <c r="O79" i="15"/>
  <c r="O46" i="12" s="1"/>
  <c r="P79" i="15"/>
  <c r="P46" i="12" s="1"/>
  <c r="Q75" i="15"/>
  <c r="Q42" i="12" s="1"/>
  <c r="Q53" i="15"/>
  <c r="Q20" i="12" s="1"/>
  <c r="Q55" i="15"/>
  <c r="Q22" i="12" s="1"/>
  <c r="Q57" i="15"/>
  <c r="Q24" i="12" s="1"/>
  <c r="Q59" i="15"/>
  <c r="Q26" i="12" s="1"/>
  <c r="Q61" i="15"/>
  <c r="Q28" i="12" s="1"/>
  <c r="Q63" i="15"/>
  <c r="Q30" i="12" s="1"/>
  <c r="Q65" i="15"/>
  <c r="Q32" i="12" s="1"/>
  <c r="Q67" i="15"/>
  <c r="Q34" i="12" s="1"/>
  <c r="Q69" i="15"/>
  <c r="Q71" i="15"/>
  <c r="Q38" i="12" s="1"/>
  <c r="Q73" i="15"/>
  <c r="Q40" i="12" s="1"/>
  <c r="Q77" i="15"/>
  <c r="Q44" i="12" s="1"/>
  <c r="Q79" i="15"/>
  <c r="Q46" i="12" s="1"/>
  <c r="Q51" i="15"/>
  <c r="Q18" i="12" s="1"/>
  <c r="B163" i="7" l="1"/>
  <c r="C163" i="7" l="1" a="1"/>
  <c r="C163" i="7" s="1"/>
  <c r="C165" i="7" a="1"/>
  <c r="C165" i="7" s="1"/>
  <c r="C74" i="1" s="1"/>
  <c r="C176" i="7" a="1"/>
  <c r="C176" i="7" s="1"/>
  <c r="C175" i="7" a="1"/>
  <c r="C175" i="7" s="1"/>
  <c r="C167" i="7" a="1"/>
  <c r="C167" i="7" s="1"/>
  <c r="C76" i="1" s="1"/>
  <c r="C168" i="7" a="1"/>
  <c r="C168" i="7" s="1"/>
  <c r="C77" i="1" s="1"/>
  <c r="C164" i="7" a="1"/>
  <c r="C164" i="7" s="1"/>
  <c r="C73" i="1" s="1"/>
  <c r="C170" i="7" a="1"/>
  <c r="C170" i="7" s="1"/>
  <c r="C79" i="1" s="1"/>
  <c r="C173" i="7" a="1"/>
  <c r="C173" i="7" s="1"/>
  <c r="C169" i="7" a="1"/>
  <c r="C169" i="7" s="1"/>
  <c r="C78" i="1" s="1"/>
  <c r="C174" i="7" a="1"/>
  <c r="C174" i="7" s="1"/>
  <c r="C172" i="7" a="1"/>
  <c r="C172" i="7" s="1"/>
  <c r="C166" i="7" a="1"/>
  <c r="C166" i="7" s="1"/>
  <c r="C75" i="1" s="1"/>
  <c r="C171" i="7" a="1"/>
  <c r="C171" i="7" s="1"/>
  <c r="C80" i="1" s="1"/>
  <c r="C111" i="7"/>
  <c r="C72" i="1" l="1"/>
  <c r="C112" i="7"/>
  <c r="E163" i="7" l="1"/>
  <c r="K39" i="1" l="1"/>
  <c r="M9" i="12" l="1"/>
  <c r="M11" i="12" l="1"/>
  <c r="M10" i="12"/>
  <c r="J45" i="14"/>
  <c r="E26" i="12" l="1"/>
  <c r="C3" i="3" l="1"/>
  <c r="C136" i="7" s="1"/>
  <c r="C143" i="7" s="1"/>
  <c r="C133" i="7" l="1"/>
  <c r="G160" i="7" s="1"/>
  <c r="C147" i="7"/>
  <c r="O20" i="9"/>
  <c r="C110" i="7"/>
  <c r="C2" i="20"/>
  <c r="E37" i="1" l="1"/>
  <c r="E44" i="1"/>
  <c r="O40" i="1"/>
  <c r="H152" i="7" s="1"/>
  <c r="H160" i="7" s="1"/>
  <c r="G116" i="7" l="1"/>
  <c r="G115" i="7"/>
  <c r="I40" i="1" s="1"/>
  <c r="C113" i="7" l="1"/>
  <c r="G110" i="7"/>
  <c r="B10" i="5"/>
  <c r="D106" i="7" s="1"/>
  <c r="G106" i="7" s="1"/>
  <c r="B8" i="5"/>
  <c r="D102" i="7" l="1"/>
  <c r="G102" i="7" s="1"/>
  <c r="D103" i="7"/>
  <c r="G103" i="7" s="1"/>
  <c r="D105" i="7"/>
  <c r="G105" i="7" s="1"/>
  <c r="D104" i="7"/>
  <c r="G104" i="7" s="1"/>
  <c r="E39" i="1" s="1"/>
  <c r="K40" i="1"/>
  <c r="F152" i="7" s="1"/>
  <c r="F160" i="7" s="1"/>
  <c r="D107" i="7"/>
  <c r="G107" i="7" s="1"/>
  <c r="G113" i="7"/>
  <c r="E40" i="1" s="1"/>
  <c r="C114" i="7"/>
  <c r="G114" i="7" s="1"/>
  <c r="G112" i="7"/>
  <c r="G111" i="7"/>
  <c r="G40" i="1" s="1"/>
  <c r="C152" i="7" l="1"/>
  <c r="C160" i="7" s="1"/>
  <c r="I39" i="1"/>
  <c r="E24" i="12"/>
  <c r="E152" i="7" l="1"/>
  <c r="E160" i="7" s="1"/>
  <c r="E39" i="9"/>
  <c r="E44" i="9"/>
  <c r="V28" i="9"/>
  <c r="U28" i="9"/>
  <c r="G28" i="9" s="1"/>
  <c r="T28" i="9"/>
  <c r="S28" i="9"/>
  <c r="F28" i="9" s="1"/>
  <c r="E92" i="7" s="1"/>
  <c r="R28" i="9"/>
  <c r="Q28" i="9"/>
  <c r="P28" i="9"/>
  <c r="O28" i="9"/>
  <c r="D28" i="9" s="1"/>
  <c r="C92" i="7" s="1"/>
  <c r="G44" i="9"/>
  <c r="F44" i="9"/>
  <c r="D44" i="9"/>
  <c r="G39" i="9"/>
  <c r="F39" i="9"/>
  <c r="D39" i="9"/>
  <c r="G29" i="9"/>
  <c r="D29" i="9"/>
  <c r="E29" i="9"/>
  <c r="F29" i="9"/>
  <c r="V48" i="9"/>
  <c r="U48" i="9"/>
  <c r="T48" i="9"/>
  <c r="S48" i="9"/>
  <c r="R48" i="9"/>
  <c r="Q48" i="9"/>
  <c r="P48" i="9"/>
  <c r="O48" i="9"/>
  <c r="V47" i="9"/>
  <c r="U47" i="9"/>
  <c r="T47" i="9"/>
  <c r="S47" i="9"/>
  <c r="R47" i="9"/>
  <c r="Q47" i="9"/>
  <c r="P47" i="9"/>
  <c r="O47" i="9"/>
  <c r="V46" i="9"/>
  <c r="U46" i="9"/>
  <c r="G46" i="9" s="1"/>
  <c r="T46" i="9"/>
  <c r="S46" i="9"/>
  <c r="R46" i="9"/>
  <c r="Q46" i="9"/>
  <c r="P46" i="9"/>
  <c r="O46" i="9"/>
  <c r="D46" i="9" s="1"/>
  <c r="V45" i="9"/>
  <c r="U45" i="9"/>
  <c r="G45" i="9" s="1"/>
  <c r="T45" i="9"/>
  <c r="S45" i="9"/>
  <c r="R45" i="9"/>
  <c r="Q45" i="9"/>
  <c r="P45" i="9"/>
  <c r="O45" i="9"/>
  <c r="D45" i="9" s="1"/>
  <c r="V43" i="9"/>
  <c r="U43" i="9"/>
  <c r="T43" i="9"/>
  <c r="S43" i="9"/>
  <c r="R43" i="9"/>
  <c r="Q43" i="9"/>
  <c r="P43" i="9"/>
  <c r="O43" i="9"/>
  <c r="V42" i="9"/>
  <c r="U42" i="9"/>
  <c r="G42" i="9" s="1"/>
  <c r="T42" i="9"/>
  <c r="S42" i="9"/>
  <c r="F42" i="9" s="1"/>
  <c r="R42" i="9"/>
  <c r="Q42" i="9"/>
  <c r="P42" i="9"/>
  <c r="O42" i="9"/>
  <c r="D42" i="9" s="1"/>
  <c r="V41" i="9"/>
  <c r="U41" i="9"/>
  <c r="T41" i="9"/>
  <c r="S41" i="9"/>
  <c r="R41" i="9"/>
  <c r="Q41" i="9"/>
  <c r="P41" i="9"/>
  <c r="O41" i="9"/>
  <c r="D41" i="9" s="1"/>
  <c r="V40" i="9"/>
  <c r="U40" i="9"/>
  <c r="G40" i="9" s="1"/>
  <c r="T40" i="9"/>
  <c r="S40" i="9"/>
  <c r="F40" i="9" s="1"/>
  <c r="R40" i="9"/>
  <c r="Q40" i="9"/>
  <c r="P40" i="9"/>
  <c r="O40" i="9"/>
  <c r="V38" i="9"/>
  <c r="U38" i="9"/>
  <c r="T38" i="9"/>
  <c r="S38" i="9"/>
  <c r="F38" i="9" s="1"/>
  <c r="R38" i="9"/>
  <c r="Q38" i="9"/>
  <c r="P38" i="9"/>
  <c r="O38" i="9"/>
  <c r="D38" i="9" s="1"/>
  <c r="V37" i="9"/>
  <c r="U37" i="9"/>
  <c r="G37" i="9" s="1"/>
  <c r="T37" i="9"/>
  <c r="S37" i="9"/>
  <c r="R37" i="9"/>
  <c r="Q37" i="9"/>
  <c r="P37" i="9"/>
  <c r="O37" i="9"/>
  <c r="D37" i="9" s="1"/>
  <c r="V36" i="9"/>
  <c r="U36" i="9"/>
  <c r="T36" i="9"/>
  <c r="S36" i="9"/>
  <c r="F36" i="9" s="1"/>
  <c r="R36" i="9"/>
  <c r="Q36" i="9"/>
  <c r="P36" i="9"/>
  <c r="O36" i="9"/>
  <c r="V33" i="9"/>
  <c r="U33" i="9"/>
  <c r="G33" i="9" s="1"/>
  <c r="T33" i="9"/>
  <c r="S33" i="9"/>
  <c r="F33" i="9" s="1"/>
  <c r="R33" i="9"/>
  <c r="Q33" i="9"/>
  <c r="P33" i="9"/>
  <c r="O33" i="9"/>
  <c r="D33" i="9" s="1"/>
  <c r="V32" i="9"/>
  <c r="U32" i="9"/>
  <c r="T32" i="9"/>
  <c r="S32" i="9"/>
  <c r="R32" i="9"/>
  <c r="Q32" i="9"/>
  <c r="P32" i="9"/>
  <c r="O32" i="9"/>
  <c r="D32" i="9" s="1"/>
  <c r="V31" i="9"/>
  <c r="U31" i="9"/>
  <c r="G31" i="9" s="1"/>
  <c r="T31" i="9"/>
  <c r="S31" i="9"/>
  <c r="F31" i="9" s="1"/>
  <c r="R31" i="9"/>
  <c r="Q31" i="9"/>
  <c r="P31" i="9"/>
  <c r="O31" i="9"/>
  <c r="V30" i="9"/>
  <c r="U30" i="9"/>
  <c r="T30" i="9"/>
  <c r="S30" i="9"/>
  <c r="F30" i="9" s="1"/>
  <c r="R30" i="9"/>
  <c r="Q30" i="9"/>
  <c r="P30" i="9"/>
  <c r="O30" i="9"/>
  <c r="D30" i="9" s="1"/>
  <c r="V23" i="9"/>
  <c r="U23" i="9"/>
  <c r="T23" i="9"/>
  <c r="S23" i="9"/>
  <c r="R23" i="9"/>
  <c r="Q23" i="9"/>
  <c r="P23" i="9"/>
  <c r="O23" i="9"/>
  <c r="D23" i="9" s="1"/>
  <c r="V22" i="9"/>
  <c r="U22" i="9"/>
  <c r="G22" i="9" s="1"/>
  <c r="T22" i="9"/>
  <c r="S22" i="9"/>
  <c r="F22" i="9" s="1"/>
  <c r="R22" i="9"/>
  <c r="Q22" i="9"/>
  <c r="O22" i="9"/>
  <c r="D22" i="9" s="1"/>
  <c r="V21" i="9"/>
  <c r="U21" i="9"/>
  <c r="T21" i="9"/>
  <c r="S21" i="9"/>
  <c r="R21" i="9"/>
  <c r="Q21" i="9"/>
  <c r="P21" i="9"/>
  <c r="O21" i="9"/>
  <c r="V20" i="9"/>
  <c r="U20" i="9"/>
  <c r="T20" i="9"/>
  <c r="S20" i="9"/>
  <c r="R20" i="9"/>
  <c r="Q20" i="9"/>
  <c r="E20" i="9" s="1"/>
  <c r="P20" i="9"/>
  <c r="D20" i="9" s="1"/>
  <c r="V17" i="9"/>
  <c r="U17" i="9"/>
  <c r="T17" i="9"/>
  <c r="S17" i="9"/>
  <c r="R17" i="9"/>
  <c r="Q17" i="9"/>
  <c r="P17" i="9"/>
  <c r="O17" i="9"/>
  <c r="V16" i="9"/>
  <c r="U16" i="9"/>
  <c r="T16" i="9"/>
  <c r="S16" i="9"/>
  <c r="R16" i="9"/>
  <c r="Q16" i="9"/>
  <c r="P16" i="9"/>
  <c r="O16" i="9"/>
  <c r="V15" i="9"/>
  <c r="U15" i="9"/>
  <c r="T15" i="9"/>
  <c r="S15" i="9"/>
  <c r="R15" i="9"/>
  <c r="Q15" i="9"/>
  <c r="P15" i="9"/>
  <c r="O15" i="9"/>
  <c r="V12" i="9"/>
  <c r="U12" i="9"/>
  <c r="T12" i="9"/>
  <c r="S12" i="9"/>
  <c r="R12" i="9"/>
  <c r="Q12" i="9"/>
  <c r="P12" i="9"/>
  <c r="O12" i="9"/>
  <c r="V11" i="9"/>
  <c r="U11" i="9"/>
  <c r="T11" i="9"/>
  <c r="S11" i="9"/>
  <c r="F11" i="9" s="1"/>
  <c r="R11" i="9"/>
  <c r="Q11" i="9"/>
  <c r="P11" i="9"/>
  <c r="O11" i="9"/>
  <c r="V10" i="9"/>
  <c r="U10" i="9"/>
  <c r="T10" i="9"/>
  <c r="S10" i="9"/>
  <c r="F10" i="9" s="1"/>
  <c r="R10" i="9"/>
  <c r="Q10" i="9"/>
  <c r="P10" i="9"/>
  <c r="O10" i="9"/>
  <c r="E28" i="9" l="1"/>
  <c r="D92" i="7" s="1"/>
  <c r="E21" i="9"/>
  <c r="F23" i="9"/>
  <c r="D31" i="9"/>
  <c r="C93" i="7" s="1"/>
  <c r="F32" i="9"/>
  <c r="E93" i="7" s="1"/>
  <c r="D36" i="9"/>
  <c r="C94" i="7" s="1"/>
  <c r="F37" i="9"/>
  <c r="E94" i="7" s="1"/>
  <c r="D40" i="9"/>
  <c r="F41" i="9"/>
  <c r="E95" i="7" s="1"/>
  <c r="D43" i="9"/>
  <c r="C95" i="7" s="1"/>
  <c r="D47" i="9"/>
  <c r="D48" i="9"/>
  <c r="D10" i="9"/>
  <c r="F43" i="9"/>
  <c r="F45" i="9"/>
  <c r="F46" i="9"/>
  <c r="F47" i="9"/>
  <c r="F48" i="9"/>
  <c r="G47" i="9"/>
  <c r="G48" i="9"/>
  <c r="G20" i="9"/>
  <c r="G15" i="9"/>
  <c r="G17" i="9"/>
  <c r="G18" i="9" s="1"/>
  <c r="D21" i="9"/>
  <c r="C91" i="7" s="1"/>
  <c r="E22" i="9"/>
  <c r="E23" i="9"/>
  <c r="E30" i="9"/>
  <c r="E31" i="9"/>
  <c r="E32" i="9"/>
  <c r="E33" i="9"/>
  <c r="E36" i="9"/>
  <c r="E37" i="9"/>
  <c r="E38" i="9"/>
  <c r="E40" i="9"/>
  <c r="E41" i="9"/>
  <c r="E42" i="9"/>
  <c r="E43" i="9"/>
  <c r="E45" i="9"/>
  <c r="E46" i="9"/>
  <c r="E47" i="9"/>
  <c r="E48" i="9"/>
  <c r="G11" i="9"/>
  <c r="F89" i="7" s="1"/>
  <c r="F20" i="9"/>
  <c r="F21" i="9"/>
  <c r="E91" i="7" s="1"/>
  <c r="F12" i="9"/>
  <c r="F13" i="9" s="1"/>
  <c r="F15" i="9"/>
  <c r="F16" i="9"/>
  <c r="F17" i="9"/>
  <c r="F18" i="9" s="1"/>
  <c r="G10" i="9"/>
  <c r="G12" i="9"/>
  <c r="G13" i="9" s="1"/>
  <c r="G16" i="9"/>
  <c r="G21" i="9"/>
  <c r="G23" i="9"/>
  <c r="G30" i="9"/>
  <c r="G36" i="9"/>
  <c r="G38" i="9"/>
  <c r="G41" i="9"/>
  <c r="G43" i="9"/>
  <c r="D11" i="9"/>
  <c r="D12" i="9"/>
  <c r="D13" i="9" s="1"/>
  <c r="D15" i="9"/>
  <c r="D16" i="9"/>
  <c r="D17" i="9"/>
  <c r="D18" i="9" s="1"/>
  <c r="E10" i="9"/>
  <c r="E11" i="9"/>
  <c r="E12" i="9"/>
  <c r="E13" i="9" s="1"/>
  <c r="E15" i="9"/>
  <c r="E16" i="9"/>
  <c r="E17" i="9"/>
  <c r="E18" i="9" s="1"/>
  <c r="G32" i="9"/>
  <c r="E3" i="13"/>
  <c r="N5" i="1" s="1"/>
  <c r="C96" i="7" l="1"/>
  <c r="D91" i="7"/>
  <c r="D94" i="7"/>
  <c r="F91" i="7"/>
  <c r="D93" i="7"/>
  <c r="E96" i="7"/>
  <c r="E89" i="7"/>
  <c r="D96" i="7"/>
  <c r="D89" i="7"/>
  <c r="C89" i="7"/>
  <c r="E90" i="7"/>
  <c r="C90" i="7"/>
  <c r="D95" i="7"/>
  <c r="D90" i="7"/>
  <c r="D1" i="9"/>
  <c r="F96" i="7" l="1"/>
  <c r="F95" i="7"/>
  <c r="F92" i="7"/>
  <c r="F90" i="7"/>
  <c r="H60" i="12" l="1"/>
  <c r="H61" i="12" s="1"/>
  <c r="I60" i="12"/>
  <c r="I61" i="12" s="1"/>
  <c r="J60" i="12"/>
  <c r="J61" i="12" s="1"/>
  <c r="K60" i="12"/>
  <c r="K61" i="12" s="1"/>
  <c r="M60" i="12"/>
  <c r="M61" i="12" s="1"/>
  <c r="H50" i="12"/>
  <c r="H51" i="12" s="1"/>
  <c r="I50" i="12"/>
  <c r="I51" i="12" s="1"/>
  <c r="J50" i="12"/>
  <c r="J51" i="12" s="1"/>
  <c r="K50" i="12"/>
  <c r="K51" i="12" s="1"/>
  <c r="L50" i="12"/>
  <c r="L51" i="12" s="1"/>
  <c r="M51" i="12"/>
  <c r="O50" i="12"/>
  <c r="O51" i="12" s="1"/>
  <c r="P50" i="12"/>
  <c r="P51" i="12" s="1"/>
  <c r="G60" i="12"/>
  <c r="G61" i="12" s="1"/>
  <c r="G50" i="12"/>
  <c r="G51" i="12" s="1"/>
  <c r="S60" i="12"/>
  <c r="S61" i="12" s="1"/>
  <c r="T60" i="12"/>
  <c r="T61" i="12" s="1"/>
  <c r="U60" i="12"/>
  <c r="U61" i="12" s="1"/>
  <c r="V60" i="12"/>
  <c r="V61" i="12" s="1"/>
  <c r="W60" i="12"/>
  <c r="W61" i="12" s="1"/>
  <c r="X60" i="12"/>
  <c r="X61" i="12" s="1"/>
  <c r="Y60" i="12"/>
  <c r="Y61" i="12" s="1"/>
  <c r="Z60" i="12"/>
  <c r="Z61" i="12" s="1"/>
  <c r="AA60" i="12"/>
  <c r="AA61" i="12" s="1"/>
  <c r="AB60" i="12"/>
  <c r="AB61" i="12" s="1"/>
  <c r="AC60" i="12"/>
  <c r="AC61" i="12" s="1"/>
  <c r="AD60" i="12"/>
  <c r="AD61" i="12" s="1"/>
  <c r="AE60" i="12"/>
  <c r="AE61" i="12" s="1"/>
  <c r="AF60" i="12"/>
  <c r="AF61" i="12" s="1"/>
  <c r="AG60" i="12"/>
  <c r="AG61" i="12" s="1"/>
  <c r="AH60" i="12"/>
  <c r="AH61" i="12" s="1"/>
  <c r="AI60" i="12"/>
  <c r="AI61" i="12" s="1"/>
  <c r="AJ60" i="12"/>
  <c r="AJ61" i="12" s="1"/>
  <c r="AK60" i="12"/>
  <c r="AK61" i="12" s="1"/>
  <c r="AL60" i="12"/>
  <c r="AL61" i="12" s="1"/>
  <c r="AM60" i="12"/>
  <c r="AM61" i="12" s="1"/>
  <c r="AN60" i="12"/>
  <c r="AN61" i="12" s="1"/>
  <c r="AO60" i="12"/>
  <c r="AO61" i="12" s="1"/>
  <c r="AP60" i="12"/>
  <c r="AP61" i="12" s="1"/>
  <c r="AQ60" i="12"/>
  <c r="AQ61" i="12" s="1"/>
  <c r="AR60" i="12"/>
  <c r="AR61" i="12" s="1"/>
  <c r="AS60" i="12"/>
  <c r="AS61" i="12" s="1"/>
  <c r="E20" i="12"/>
  <c r="E22" i="12"/>
  <c r="E28" i="12"/>
  <c r="E30" i="12"/>
  <c r="E32" i="12"/>
  <c r="E34" i="12"/>
  <c r="E36" i="12"/>
  <c r="E38" i="12"/>
  <c r="E40" i="12"/>
  <c r="E42" i="12"/>
  <c r="E44" i="12"/>
  <c r="E46" i="12"/>
  <c r="D8" i="12"/>
  <c r="D7" i="12"/>
  <c r="G39" i="1"/>
  <c r="D152" i="7" s="1"/>
  <c r="D160" i="7" s="1"/>
  <c r="D57" i="12" l="1"/>
  <c r="D19" i="12"/>
  <c r="D27" i="12"/>
  <c r="D25" i="12"/>
  <c r="D37" i="12"/>
  <c r="D21" i="12"/>
  <c r="D45" i="12"/>
  <c r="D29" i="12"/>
  <c r="F77" i="7" s="1"/>
  <c r="D43" i="12"/>
  <c r="D35" i="12"/>
  <c r="F79" i="7"/>
  <c r="D41" i="12"/>
  <c r="D33" i="12"/>
  <c r="D47" i="12"/>
  <c r="D39" i="12"/>
  <c r="D31" i="12"/>
  <c r="D23" i="12"/>
  <c r="F76" i="7" l="1"/>
  <c r="E30" i="1" s="1"/>
  <c r="F74" i="7"/>
  <c r="F75" i="7"/>
  <c r="L100" i="16"/>
  <c r="L41" i="16"/>
  <c r="K100" i="16"/>
  <c r="J41" i="16"/>
  <c r="I100" i="16"/>
  <c r="J100" i="16"/>
  <c r="K41" i="16"/>
  <c r="I41" i="16"/>
  <c r="K108" i="16"/>
  <c r="L48" i="16"/>
  <c r="L108" i="16"/>
  <c r="I48" i="16"/>
  <c r="J108" i="16"/>
  <c r="K48" i="16"/>
  <c r="J48" i="16"/>
  <c r="J101" i="16"/>
  <c r="L42" i="16"/>
  <c r="I101" i="16"/>
  <c r="I42" i="16"/>
  <c r="L101" i="16"/>
  <c r="J42" i="16"/>
  <c r="K101" i="16"/>
  <c r="K42" i="16"/>
  <c r="J104" i="16"/>
  <c r="L104" i="16"/>
  <c r="I104" i="16"/>
  <c r="I45" i="16"/>
  <c r="J45" i="16"/>
  <c r="K104" i="16"/>
  <c r="K45" i="16"/>
  <c r="L45" i="16"/>
  <c r="K107" i="16"/>
  <c r="I47" i="16"/>
  <c r="J47" i="16"/>
  <c r="K47" i="16"/>
  <c r="L47" i="16"/>
  <c r="I107" i="16"/>
  <c r="J107" i="16"/>
  <c r="L107" i="16"/>
  <c r="C4" i="18"/>
  <c r="J103" i="16"/>
  <c r="K44" i="16"/>
  <c r="I103" i="16"/>
  <c r="L44" i="16"/>
  <c r="I44" i="16"/>
  <c r="L103" i="16"/>
  <c r="K103" i="16"/>
  <c r="J44" i="16"/>
  <c r="L105" i="16"/>
  <c r="I46" i="16"/>
  <c r="K46" i="16"/>
  <c r="I105" i="16"/>
  <c r="L46" i="16"/>
  <c r="K105" i="16"/>
  <c r="J46" i="16"/>
  <c r="J105" i="16"/>
  <c r="K102" i="16"/>
  <c r="I28" i="1"/>
  <c r="C98" i="7" s="1"/>
  <c r="D51" i="16"/>
  <c r="J102" i="16"/>
  <c r="K43" i="16"/>
  <c r="I102" i="16"/>
  <c r="L43" i="16"/>
  <c r="D112" i="16"/>
  <c r="H51" i="16"/>
  <c r="L70" i="12" s="1"/>
  <c r="C112" i="16"/>
  <c r="G51" i="16"/>
  <c r="K70" i="12" s="1"/>
  <c r="L102" i="16"/>
  <c r="I43" i="16"/>
  <c r="C51" i="16"/>
  <c r="F112" i="16"/>
  <c r="J74" i="12" s="1"/>
  <c r="J43" i="16"/>
  <c r="M5" i="20" l="1"/>
  <c r="M6" i="20" s="1"/>
  <c r="M3" i="20"/>
  <c r="M4" i="20"/>
  <c r="I33" i="1"/>
  <c r="G30" i="1"/>
  <c r="I110" i="16"/>
  <c r="I112" i="16" s="1"/>
  <c r="M74" i="12" s="1"/>
  <c r="G44" i="1"/>
  <c r="I49" i="16"/>
  <c r="I51" i="16" s="1"/>
  <c r="M70" i="12" s="1"/>
  <c r="K44" i="1"/>
  <c r="I44" i="1"/>
  <c r="J57" i="14"/>
  <c r="L110" i="16"/>
  <c r="L112" i="16" s="1"/>
  <c r="P74" i="12" s="1"/>
  <c r="J110" i="16"/>
  <c r="J112" i="16" s="1"/>
  <c r="N74" i="12" s="1"/>
  <c r="K49" i="16"/>
  <c r="K51" i="16" s="1"/>
  <c r="O70" i="12" s="1"/>
  <c r="L49" i="16"/>
  <c r="L51" i="16" s="1"/>
  <c r="P70" i="12" s="1"/>
  <c r="J49" i="16"/>
  <c r="J51" i="16" s="1"/>
  <c r="N70" i="12" s="1"/>
  <c r="K110" i="16"/>
  <c r="K112" i="16" s="1"/>
  <c r="O74" i="12" s="1"/>
  <c r="F147" i="7"/>
  <c r="F143" i="7"/>
  <c r="D143" i="7"/>
  <c r="D147" i="7"/>
  <c r="E143" i="7"/>
  <c r="E147" i="7"/>
  <c r="L9" i="12"/>
  <c r="N9" i="12"/>
  <c r="G9" i="12"/>
  <c r="Q50" i="12"/>
  <c r="Q51" i="12" s="1"/>
  <c r="R50" i="12"/>
  <c r="R51" i="12" s="1"/>
  <c r="S50" i="12"/>
  <c r="S51" i="12" s="1"/>
  <c r="T50" i="12"/>
  <c r="T51" i="12" s="1"/>
  <c r="U50" i="12"/>
  <c r="U51" i="12" s="1"/>
  <c r="V50" i="12"/>
  <c r="V51" i="12" s="1"/>
  <c r="W50" i="12"/>
  <c r="W51" i="12" s="1"/>
  <c r="X50" i="12"/>
  <c r="X51" i="12" s="1"/>
  <c r="Y50" i="12"/>
  <c r="Y51" i="12" s="1"/>
  <c r="Z50" i="12"/>
  <c r="Z51" i="12" s="1"/>
  <c r="AA50" i="12"/>
  <c r="AA51" i="12" s="1"/>
  <c r="AB50" i="12"/>
  <c r="AB51" i="12" s="1"/>
  <c r="AC50" i="12"/>
  <c r="AC51" i="12" s="1"/>
  <c r="E51" i="12"/>
  <c r="P9" i="12"/>
  <c r="Q9" i="12"/>
  <c r="R9" i="12"/>
  <c r="O9" i="12"/>
  <c r="E151" i="7" l="1"/>
  <c r="I48" i="1" s="1"/>
  <c r="O11" i="12"/>
  <c r="O10" i="12"/>
  <c r="O60" i="12" s="1"/>
  <c r="O61" i="12" s="1"/>
  <c r="G10" i="12"/>
  <c r="D9" i="12"/>
  <c r="R11" i="12"/>
  <c r="R10" i="12"/>
  <c r="R60" i="12" s="1"/>
  <c r="R61" i="12" s="1"/>
  <c r="Q11" i="12"/>
  <c r="Q10" i="12"/>
  <c r="Q60" i="12" s="1"/>
  <c r="Q61" i="12" s="1"/>
  <c r="N11" i="12"/>
  <c r="N10" i="12"/>
  <c r="P11" i="12"/>
  <c r="P10" i="12"/>
  <c r="P60" i="12" s="1"/>
  <c r="P61" i="12" s="1"/>
  <c r="J59" i="14"/>
  <c r="E74" i="12"/>
  <c r="E70" i="12"/>
  <c r="D52" i="12"/>
  <c r="F78" i="7" s="1"/>
  <c r="L11" i="12"/>
  <c r="L10" i="12"/>
  <c r="L60" i="12" s="1"/>
  <c r="L61" i="12" s="1"/>
  <c r="G11" i="12"/>
  <c r="E61" i="12" l="1"/>
  <c r="D62" i="12" s="1"/>
  <c r="D63" i="12" s="1"/>
  <c r="D64" i="12" s="1"/>
  <c r="M66" i="12"/>
  <c r="E66" i="12" s="1"/>
  <c r="D67" i="12" s="1"/>
  <c r="D68" i="12" s="1"/>
  <c r="D72" i="12"/>
  <c r="D73" i="12" s="1"/>
  <c r="D76" i="12"/>
  <c r="D77" i="12" s="1"/>
  <c r="C85" i="7" s="1"/>
  <c r="F73" i="7" l="1"/>
  <c r="K30" i="1" s="1"/>
  <c r="C84" i="7"/>
  <c r="F80" i="7"/>
  <c r="M30" i="1" s="1"/>
  <c r="F81" i="7"/>
  <c r="I30" i="1" s="1"/>
  <c r="F134" i="7"/>
  <c r="E134" i="7"/>
  <c r="D134" i="7"/>
  <c r="D144" i="7" s="1"/>
  <c r="C134" i="7"/>
  <c r="C148" i="7" s="1"/>
  <c r="F133" i="7"/>
  <c r="E133" i="7"/>
  <c r="D133" i="7"/>
  <c r="I53" i="1" l="1"/>
  <c r="O30" i="1"/>
  <c r="E148" i="7"/>
  <c r="E144" i="7"/>
  <c r="F148" i="7"/>
  <c r="F144" i="7"/>
  <c r="C144" i="7"/>
  <c r="D148" i="7"/>
  <c r="O33" i="1" l="1"/>
  <c r="G33" i="1"/>
  <c r="E36" i="1" l="1"/>
  <c r="E33" i="1"/>
  <c r="C151" i="7" s="1"/>
  <c r="E48" i="1" s="1"/>
  <c r="D151" i="7"/>
  <c r="G48" i="1" s="1"/>
  <c r="H151" i="7"/>
  <c r="O48" i="1" s="1"/>
  <c r="G36" i="1"/>
  <c r="G42" i="1" s="1"/>
  <c r="G28" i="1"/>
  <c r="L3" i="20" s="1"/>
  <c r="I50" i="1"/>
  <c r="I36" i="1"/>
  <c r="I42" i="1" s="1"/>
  <c r="L5" i="20" l="1"/>
  <c r="L6" i="20" s="1"/>
  <c r="E42" i="1"/>
  <c r="L4" i="20"/>
  <c r="K4" i="20"/>
  <c r="E155" i="7"/>
  <c r="E153" i="7"/>
  <c r="E156" i="7" s="1"/>
  <c r="D153" i="7"/>
  <c r="D156" i="7" s="1"/>
  <c r="G31" i="1"/>
  <c r="G45" i="1"/>
  <c r="G50" i="1"/>
  <c r="I45" i="1"/>
  <c r="E53" i="1" l="1"/>
  <c r="C155" i="7"/>
  <c r="G52" i="1"/>
  <c r="D3" i="20" s="1"/>
  <c r="D155" i="7"/>
  <c r="G53" i="1"/>
  <c r="D4" i="20" s="1"/>
  <c r="G46" i="1"/>
  <c r="I46" i="1"/>
  <c r="I31" i="1"/>
  <c r="I52" i="1" s="1"/>
  <c r="E154" i="7" l="1"/>
  <c r="E157" i="7" s="1"/>
  <c r="E158" i="7" s="1"/>
  <c r="I54" i="1" s="1"/>
  <c r="E5" i="20" s="1"/>
  <c r="D154" i="7"/>
  <c r="D157" i="7" s="1"/>
  <c r="D158" i="7" s="1"/>
  <c r="G54" i="1" s="1"/>
  <c r="E3" i="20"/>
  <c r="E4" i="20"/>
  <c r="E6" i="20" l="1"/>
  <c r="G55" i="1"/>
  <c r="G58" i="1" s="1"/>
  <c r="D5" i="20"/>
  <c r="D6" i="20" s="1"/>
  <c r="M37" i="1"/>
  <c r="M44" i="1"/>
  <c r="I55" i="1"/>
  <c r="I58" i="1" s="1"/>
  <c r="K33" i="1" l="1"/>
  <c r="N4" i="20"/>
  <c r="M28" i="1"/>
  <c r="O5" i="20" s="1"/>
  <c r="M33" i="1"/>
  <c r="E31" i="1"/>
  <c r="E52" i="1" s="1"/>
  <c r="O28" i="1"/>
  <c r="O36" i="1"/>
  <c r="O42" i="1" s="1"/>
  <c r="K28" i="1"/>
  <c r="K36" i="1"/>
  <c r="M36" i="1"/>
  <c r="M42" i="1" l="1"/>
  <c r="O29" i="1"/>
  <c r="O31" i="1" s="1"/>
  <c r="O52" i="1" s="1"/>
  <c r="P5" i="20"/>
  <c r="P6" i="20" s="1"/>
  <c r="M29" i="1"/>
  <c r="M31" i="1" s="1"/>
  <c r="M52" i="1" s="1"/>
  <c r="O6" i="20"/>
  <c r="N5" i="20"/>
  <c r="N6" i="20" s="1"/>
  <c r="F151" i="7"/>
  <c r="K48" i="1" s="1"/>
  <c r="K42" i="1"/>
  <c r="P4" i="20"/>
  <c r="P3" i="20"/>
  <c r="O4" i="20"/>
  <c r="O3" i="20"/>
  <c r="C153" i="7"/>
  <c r="C156" i="7" s="1"/>
  <c r="G151" i="7"/>
  <c r="M48" i="1" s="1"/>
  <c r="H153" i="7"/>
  <c r="H156" i="7" s="1"/>
  <c r="G153" i="7"/>
  <c r="G156" i="7" s="1"/>
  <c r="F153" i="7"/>
  <c r="F156" i="7" s="1"/>
  <c r="C3" i="20"/>
  <c r="O50" i="1"/>
  <c r="O45" i="1"/>
  <c r="O46" i="1" s="1"/>
  <c r="K50" i="1"/>
  <c r="K45" i="1"/>
  <c r="K46" i="1" s="1"/>
  <c r="M50" i="1"/>
  <c r="M45" i="1"/>
  <c r="E50" i="1"/>
  <c r="E45" i="1"/>
  <c r="F155" i="7" l="1"/>
  <c r="K53" i="1"/>
  <c r="F4" i="20" s="1"/>
  <c r="G155" i="7"/>
  <c r="M53" i="1"/>
  <c r="G4" i="20" s="1"/>
  <c r="H155" i="7"/>
  <c r="O53" i="1"/>
  <c r="H4" i="20" s="1"/>
  <c r="C4" i="20"/>
  <c r="M46" i="1"/>
  <c r="E46" i="1"/>
  <c r="C154" i="7" s="1"/>
  <c r="C157" i="7" s="1"/>
  <c r="F154" i="7"/>
  <c r="F157" i="7" s="1"/>
  <c r="H154" i="7"/>
  <c r="H157" i="7" s="1"/>
  <c r="C69" i="1"/>
  <c r="G154" i="7" l="1"/>
  <c r="G157" i="7" s="1"/>
  <c r="G158" i="7" s="1"/>
  <c r="M54" i="1" s="1"/>
  <c r="G5" i="20" s="1"/>
  <c r="F158" i="7"/>
  <c r="K54" i="1" s="1"/>
  <c r="F5" i="20" s="1"/>
  <c r="H158" i="7"/>
  <c r="O54" i="1" s="1"/>
  <c r="H5" i="20" s="1"/>
  <c r="G3" i="20"/>
  <c r="C158" i="7" l="1"/>
  <c r="G6" i="20"/>
  <c r="H3" i="20"/>
  <c r="M55" i="1"/>
  <c r="M58" i="1" s="1"/>
  <c r="K31" i="1"/>
  <c r="K52" i="1" s="1"/>
  <c r="E54" i="1" l="1"/>
  <c r="C5" i="20" s="1"/>
  <c r="C6" i="20" s="1"/>
  <c r="O55" i="1"/>
  <c r="K55" i="1"/>
  <c r="K58" i="1" s="1"/>
  <c r="F3" i="20"/>
  <c r="F6" i="20" s="1"/>
  <c r="O59" i="1" l="1"/>
  <c r="O58" i="1"/>
  <c r="E55" i="1"/>
  <c r="E58" i="1" s="1"/>
  <c r="M59" i="1"/>
  <c r="H6" i="20"/>
  <c r="G59" i="1" l="1"/>
  <c r="I59" i="1"/>
  <c r="K59" i="1"/>
  <c r="E59" i="1"/>
  <c r="G7" i="20"/>
  <c r="M60" i="1" l="1"/>
  <c r="O60" i="1"/>
  <c r="B9" i="20"/>
  <c r="C9" i="20"/>
  <c r="D9" i="20" l="1"/>
  <c r="E9" i="20" s="1"/>
  <c r="F9" i="20" s="1"/>
  <c r="G9" i="20" s="1"/>
  <c r="H9" i="20" s="1"/>
  <c r="I9"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Meier Ronny</author>
  </authors>
  <commentList>
    <comment ref="N26" authorId="0" shapeId="0" xr:uid="{00000000-0006-0000-0800-000001000000}">
      <text>
        <r>
          <rPr>
            <b/>
            <sz val="9"/>
            <color indexed="81"/>
            <rFont val="Segoe UI"/>
            <family val="2"/>
          </rPr>
          <t>Meier Ronny:</t>
        </r>
        <r>
          <rPr>
            <sz val="9"/>
            <color indexed="81"/>
            <rFont val="Segoe UI"/>
            <family val="2"/>
          </rPr>
          <t xml:space="preserve">
Kompensation von zu hohen Strompreisen zuvor --&gt; Mittelwert Jahre 2019 und 2022 anstatt tatsächliche Werte (siehe 2019.08.28. Medienmitteilung CKW senkt Stromtarife 2020 und 2020.08.27. CKW vergünstigt weiterhin Stromtarife)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<sst xmlns="http://schemas.openxmlformats.org/spreadsheetml/2006/main" count="1315" uniqueCount="804">
  <si>
    <t>Gebäudedaten</t>
  </si>
  <si>
    <t>Gebäudekategorie</t>
  </si>
  <si>
    <t>Umbau</t>
  </si>
  <si>
    <t>kW</t>
  </si>
  <si>
    <t>Nutzenergiebedarf</t>
  </si>
  <si>
    <t>kWh/a</t>
  </si>
  <si>
    <t>03 Verwaltung</t>
  </si>
  <si>
    <t>04 Schulen</t>
  </si>
  <si>
    <t>05 Verkauf</t>
  </si>
  <si>
    <t>06 Restaurants</t>
  </si>
  <si>
    <t>07 Versammlungslokale</t>
  </si>
  <si>
    <t>08 Spitäler</t>
  </si>
  <si>
    <t>09 Industrie</t>
  </si>
  <si>
    <t>10 Lager</t>
  </si>
  <si>
    <t>11 Sportbauten</t>
  </si>
  <si>
    <t>12 Hallenbäder</t>
  </si>
  <si>
    <t>Art de Bauvorhabens</t>
  </si>
  <si>
    <t>Neubau</t>
  </si>
  <si>
    <t>WP-Luft</t>
  </si>
  <si>
    <t>Oelheizung</t>
  </si>
  <si>
    <t>Heizungssystem</t>
  </si>
  <si>
    <t>Nutzungsgrad / JAZ</t>
  </si>
  <si>
    <t>-</t>
  </si>
  <si>
    <t>Energiebedarf</t>
  </si>
  <si>
    <t>Jahreskosten für Energie</t>
  </si>
  <si>
    <t>Fr.</t>
  </si>
  <si>
    <t>Spezifische Raumkosten</t>
  </si>
  <si>
    <t>Total Raumkosten</t>
  </si>
  <si>
    <t>Wartung und Unterhalt</t>
  </si>
  <si>
    <t>Berechnungsgrundlagen</t>
  </si>
  <si>
    <t>Kalkulationszinssatz</t>
  </si>
  <si>
    <t>%</t>
  </si>
  <si>
    <t>Energiekosten</t>
  </si>
  <si>
    <t>Kapitalkosten</t>
  </si>
  <si>
    <t>Total Jahreskosten</t>
  </si>
  <si>
    <t>Ergebnis</t>
  </si>
  <si>
    <t>Mittl. Wärmegestehungskosten (Nutzenergie)</t>
  </si>
  <si>
    <t>Vergleich</t>
  </si>
  <si>
    <t>Fossile Anlage zulässig</t>
  </si>
  <si>
    <t>Heizungssysteme</t>
  </si>
  <si>
    <t>Holz-Pellets</t>
  </si>
  <si>
    <t>Holz-Schnitzel</t>
  </si>
  <si>
    <t>WP-Sonde</t>
  </si>
  <si>
    <t>WP-Wasser</t>
  </si>
  <si>
    <t>Gasheizung</t>
  </si>
  <si>
    <t>WP-Absorpt.</t>
  </si>
  <si>
    <t>WP-Zeolyth</t>
  </si>
  <si>
    <t>Fernwärme</t>
  </si>
  <si>
    <t>Spezifische Raumkosten [Fr./m3]</t>
  </si>
  <si>
    <t>Betrachtungsdauer [Jahre]</t>
  </si>
  <si>
    <t>Annuität</t>
  </si>
  <si>
    <t>Kalkulationszinssatz [%]</t>
  </si>
  <si>
    <t>Kalkulationszinsatz</t>
  </si>
  <si>
    <t>Jährliche Kostensteigerung Energiepreise [%]</t>
  </si>
  <si>
    <t>Jährliche Kostensteigerung Wartung/Unterhalt [%]</t>
  </si>
  <si>
    <t>Faktor Energiepreissteigerung</t>
  </si>
  <si>
    <t>Faktor Kostensteigerung Wartung/Unterhalt</t>
  </si>
  <si>
    <t>Total Kapitalkosten</t>
  </si>
  <si>
    <t>2.1 Nutzungsgrad / JAZ</t>
  </si>
  <si>
    <t>2.3 Energiepreise [Rp/kWh]</t>
  </si>
  <si>
    <t>1.1 Gebäudekategorien</t>
  </si>
  <si>
    <t>Nr.</t>
  </si>
  <si>
    <t>Name</t>
  </si>
  <si>
    <t>Quelle</t>
  </si>
  <si>
    <t>Energiepreise (Strom)</t>
  </si>
  <si>
    <t>Energiepreise (Holz-Schnitzel)</t>
  </si>
  <si>
    <t>Ja</t>
  </si>
  <si>
    <t>Nein</t>
  </si>
  <si>
    <r>
      <t>Energiepreis (inkl. MWST und CO</t>
    </r>
    <r>
      <rPr>
        <vertAlign val="subscript"/>
        <sz val="9"/>
        <rFont val="Arial"/>
        <family val="2"/>
      </rPr>
      <t>2</t>
    </r>
    <r>
      <rPr>
        <sz val="9"/>
        <rFont val="Arial"/>
        <family val="2"/>
      </rPr>
      <t>-Abgabe)</t>
    </r>
  </si>
  <si>
    <t>Holz-Pellets / Holz-Schnitzel</t>
  </si>
  <si>
    <t>alle Anlagen [Fr.]</t>
  </si>
  <si>
    <r>
      <t>alle Anlagen [Fr. pro kW</t>
    </r>
    <r>
      <rPr>
        <vertAlign val="subscript"/>
        <sz val="9"/>
        <color theme="1"/>
        <rFont val="Arial"/>
        <family val="2"/>
      </rPr>
      <t>th</t>
    </r>
    <r>
      <rPr>
        <sz val="9"/>
        <color theme="1"/>
        <rFont val="Arial"/>
        <family val="2"/>
      </rPr>
      <t>]</t>
    </r>
  </si>
  <si>
    <t>WP-Sonde / WP-Wasser</t>
  </si>
  <si>
    <r>
      <t>bis 500 kW</t>
    </r>
    <r>
      <rPr>
        <vertAlign val="subscript"/>
        <sz val="9"/>
        <color theme="1"/>
        <rFont val="Arial"/>
        <family val="2"/>
      </rPr>
      <t>th</t>
    </r>
    <r>
      <rPr>
        <sz val="9"/>
        <color theme="1"/>
        <rFont val="Arial"/>
        <family val="2"/>
      </rPr>
      <t xml:space="preserve"> [Fr.]</t>
    </r>
  </si>
  <si>
    <r>
      <t>bis 500 kW</t>
    </r>
    <r>
      <rPr>
        <vertAlign val="subscript"/>
        <sz val="9"/>
        <color theme="1"/>
        <rFont val="Arial"/>
        <family val="2"/>
      </rPr>
      <t>th</t>
    </r>
    <r>
      <rPr>
        <sz val="9"/>
        <color theme="1"/>
        <rFont val="Arial"/>
        <family val="2"/>
      </rPr>
      <t xml:space="preserve"> [Fr. pro kW</t>
    </r>
    <r>
      <rPr>
        <vertAlign val="subscript"/>
        <sz val="9"/>
        <color theme="1"/>
        <rFont val="Arial"/>
        <family val="2"/>
      </rPr>
      <t>th</t>
    </r>
    <r>
      <rPr>
        <sz val="9"/>
        <color theme="1"/>
        <rFont val="Arial"/>
        <family val="2"/>
      </rPr>
      <t>]</t>
    </r>
  </si>
  <si>
    <r>
      <t>ab 500 kW</t>
    </r>
    <r>
      <rPr>
        <vertAlign val="subscript"/>
        <sz val="9"/>
        <color theme="1"/>
        <rFont val="Arial"/>
        <family val="2"/>
      </rPr>
      <t>th</t>
    </r>
    <r>
      <rPr>
        <sz val="9"/>
        <color theme="1"/>
        <rFont val="Arial"/>
        <family val="2"/>
      </rPr>
      <t xml:space="preserve"> [Fr.]</t>
    </r>
  </si>
  <si>
    <r>
      <t>ab 500 kW</t>
    </r>
    <r>
      <rPr>
        <vertAlign val="subscript"/>
        <sz val="9"/>
        <color theme="1"/>
        <rFont val="Arial"/>
        <family val="2"/>
      </rPr>
      <t>th</t>
    </r>
    <r>
      <rPr>
        <sz val="9"/>
        <color theme="1"/>
        <rFont val="Arial"/>
        <family val="2"/>
      </rPr>
      <t xml:space="preserve"> [Fr. pro kW</t>
    </r>
    <r>
      <rPr>
        <vertAlign val="subscript"/>
        <sz val="9"/>
        <color theme="1"/>
        <rFont val="Arial"/>
        <family val="2"/>
      </rPr>
      <t>th</t>
    </r>
    <r>
      <rPr>
        <sz val="9"/>
        <color theme="1"/>
        <rFont val="Arial"/>
        <family val="2"/>
      </rPr>
      <t>]</t>
    </r>
  </si>
  <si>
    <t>Investitionskosten (Amortisationszeit 20 Jahre)</t>
  </si>
  <si>
    <t>Investitionskosten (Amortisationszeit 40 Jahre)</t>
  </si>
  <si>
    <t>2.1/2.3/6.1</t>
  </si>
  <si>
    <t>6.1 Wartung und Unterhalt [%]</t>
  </si>
  <si>
    <t>Total</t>
  </si>
  <si>
    <t>Energiepreise</t>
  </si>
  <si>
    <t>Durchschnitt letzte vier Jahre</t>
  </si>
  <si>
    <t>m²</t>
  </si>
  <si>
    <t>m³</t>
  </si>
  <si>
    <t>Fr./m³</t>
  </si>
  <si>
    <t>Anschluss an Fernwärme</t>
  </si>
  <si>
    <t>Raumbedarf (Standardwert / Nachweis)</t>
  </si>
  <si>
    <t>Jahreskosten (Betrachtungsdauer = 20 Jahre)</t>
  </si>
  <si>
    <t>Jährliche Wartung und Unterhalt</t>
  </si>
  <si>
    <t>Kosten (Standardwert / Nachweis)</t>
  </si>
  <si>
    <t>Energiepreise Fernwärme [Rp/kWh]</t>
  </si>
  <si>
    <t>Wärmeerzeugung</t>
  </si>
  <si>
    <t>Kurztext</t>
  </si>
  <si>
    <t>Text</t>
  </si>
  <si>
    <t>Ölfeuerung</t>
  </si>
  <si>
    <t>Ölheizung kondensierend</t>
  </si>
  <si>
    <t>Ölfeuerung kondensierend nur Heizung</t>
  </si>
  <si>
    <t>Ölfeuerung kondens. Warmwasser</t>
  </si>
  <si>
    <t>Ölfeuerung kondensierend nur Warmwasser</t>
  </si>
  <si>
    <t>Gasfeuerung</t>
  </si>
  <si>
    <t>Gasheizung kondensierend</t>
  </si>
  <si>
    <t>Gasfeuerung kondensierend nur Heizung</t>
  </si>
  <si>
    <t>Gas kondensierend Warmwasser</t>
  </si>
  <si>
    <t>Gasfeuerung kondensierend nur Warmwasser</t>
  </si>
  <si>
    <t>Gas - Wassererwärmer</t>
  </si>
  <si>
    <t>Holzfeuerung</t>
  </si>
  <si>
    <t>Pelletfeuerung</t>
  </si>
  <si>
    <t>Fernwärme (&lt;=50% nicht erneuerbar)</t>
  </si>
  <si>
    <t>Fernwärme (inkl. Abwärme aus KVA,ARA), &lt;=50% nicht erneuerbar</t>
  </si>
  <si>
    <t>Elektrospeicher-Zentralheizung</t>
  </si>
  <si>
    <t>Elektro direkt</t>
  </si>
  <si>
    <t>Elektro-Wassererwärmer</t>
  </si>
  <si>
    <t>WKK - thermischer+elektr. Anteil</t>
  </si>
  <si>
    <t>WKK (fossil) - thermischer + elektrischer Anteil</t>
  </si>
  <si>
    <t>WKK Holz - therm.+elektr. Anteil</t>
  </si>
  <si>
    <t>WKK (Holz) - thermischer + elektrischer Anteil</t>
  </si>
  <si>
    <t>Luft-Wärmepumpe, Warmwasser</t>
  </si>
  <si>
    <t>Wärmepumpe, Aussenluft, nur Warmwasser</t>
  </si>
  <si>
    <t>Erdsonden-WP, Warmwasser</t>
  </si>
  <si>
    <t>Wärmepumpe, Erdwärmesonde, nur Warmwasser</t>
  </si>
  <si>
    <t>Abwasser-WP (direkt), Heizung</t>
  </si>
  <si>
    <t>Wärmepumpe, Abwasser, nur Heizung</t>
  </si>
  <si>
    <t>Abwasser-WP direkt, Warmwasser</t>
  </si>
  <si>
    <t>Wärmepumpe, Abwasser, nur Warmwasser</t>
  </si>
  <si>
    <t>Wasser-WP, Warmwasser</t>
  </si>
  <si>
    <t>Wasser-Wärmepumpe, nur Warmwasser</t>
  </si>
  <si>
    <t>Grundwasser-WP direkt, Heizung</t>
  </si>
  <si>
    <t>Wärmepumpe, Grundwasser, direkt, nur Heizung</t>
  </si>
  <si>
    <t>Grundwasser-WP dir. Warmwasser</t>
  </si>
  <si>
    <t>Wärmepumpe, Grundwasser, direkt, nur Warmwasser</t>
  </si>
  <si>
    <t>Grundwasser-WP, indir, Heizung</t>
  </si>
  <si>
    <t>Wärmepumpe, Grundwasser, indirekt, nur Heizung</t>
  </si>
  <si>
    <t>Grundwasser-WP, indir, Warmw.</t>
  </si>
  <si>
    <t>Wärmepumpe, Grundwasser, indirekt, nur Warmwaser</t>
  </si>
  <si>
    <t>Erdregister-WP, Heizung</t>
  </si>
  <si>
    <t>Wärmepumpe Erdregister, nur Heizung</t>
  </si>
  <si>
    <t>Erdregister-WP, Warmwasser</t>
  </si>
  <si>
    <t>Wärmepumpe Erdregister, nur Warmwasser</t>
  </si>
  <si>
    <t>Solarenergie thermisch, Heizung</t>
  </si>
  <si>
    <t>Solarenergie thermisch, nur Heizung</t>
  </si>
  <si>
    <t>Solarenergie therm. Warmwasser</t>
  </si>
  <si>
    <t>Solarenergie thermisch, nur Warmwasser</t>
  </si>
  <si>
    <t>Solarenergie Heizung + WW</t>
  </si>
  <si>
    <t>Solarenergie thermisch, Heizung + WW</t>
  </si>
  <si>
    <t>Warmhaltebänder</t>
  </si>
  <si>
    <t>Abwärme aus Klimakälte</t>
  </si>
  <si>
    <t>Abwärme aus Gewerbekälte oder EDV</t>
  </si>
  <si>
    <t>Ab- / Zuluft-WP + WRG</t>
  </si>
  <si>
    <t>Lüftungsgerät mit Abluft / Zuluft - Wärmepumpe plus WRG</t>
  </si>
  <si>
    <t>Ab- / Zuluft-WP ohne WRG</t>
  </si>
  <si>
    <t>Lüftungsgerät mit Abluft / Zuluft - Wärmepumpe ohne WRG</t>
  </si>
  <si>
    <t>Abluft-Wärmepumpe ohne ZUL</t>
  </si>
  <si>
    <t>Lüftungsgerät mit Abluft-Wärmepumpe (keine Zuluft)</t>
  </si>
  <si>
    <t>Kompakt-WP + WRG</t>
  </si>
  <si>
    <t>Kompakt-WP mit Zu- &amp; Abluft / WW plus WRG</t>
  </si>
  <si>
    <t>Kompakt-WP ohne WRG, Heizteil</t>
  </si>
  <si>
    <t>Kompakt-WP mit Zu- &amp; Abluft / WW ohne WRG (nur Heizung)</t>
  </si>
  <si>
    <t>Kompakt-WP ohne WRG, WW</t>
  </si>
  <si>
    <t>Kompakt-WP mit Zu- &amp; Abluft / WW ohne WRG (nur WW)</t>
  </si>
  <si>
    <t>Biomasse, eingebunden</t>
  </si>
  <si>
    <t>Biomasse, hydraulisch eingebunden</t>
  </si>
  <si>
    <t>Fernwärme (&gt;75% nicht erneuerbar)</t>
  </si>
  <si>
    <t>Fernwärme (inkl. Abwärme aus KVA,ARA), &gt;75% nicht erneuerbar</t>
  </si>
  <si>
    <t>Fernwärme (&lt;=75% nicht erneuerbar)</t>
  </si>
  <si>
    <t>Fernwärme (inkl. Abwärme aus KVA,ARA), &lt;=75% nicht erneuerbar</t>
  </si>
  <si>
    <t>Fernwärme (&lt;=25% nicht erneuerbar)</t>
  </si>
  <si>
    <t>Fernwärme (inkl. Abwärme aus KVA,ARA), &lt;=25% nicht erneuerbar</t>
  </si>
  <si>
    <t>Standard</t>
  </si>
  <si>
    <t>Maximal</t>
  </si>
  <si>
    <t>2.1 Nutzungsgrad / JAZ Maximal</t>
  </si>
  <si>
    <t>Formel</t>
  </si>
  <si>
    <t>Tsd. Fr.</t>
  </si>
  <si>
    <t>Raumkosten (Amortisationszeit 40 Jahre)</t>
  </si>
  <si>
    <t>Energiebezugsfläche</t>
  </si>
  <si>
    <t>Amortisationszeit (paritätische Lebensdauertabelle)</t>
  </si>
  <si>
    <t>https://intern.mieterverband.ch/ldt/objekte.php?Gid=1 (MV) oder https://ldt.innov8.ch/objekte.php?HEV=1&amp;Gid=1 (HEV)</t>
  </si>
  <si>
    <t>Investitionskosten Erdwärmesonde, Elektrozuleitung</t>
  </si>
  <si>
    <t>Felder zum Auffüllen, sobald Daten verfügbar</t>
  </si>
  <si>
    <r>
      <t>Raumbedarf SIA 384/1 [m</t>
    </r>
    <r>
      <rPr>
        <b/>
        <vertAlign val="superscript"/>
        <sz val="9"/>
        <rFont val="Arial"/>
        <family val="2"/>
      </rPr>
      <t>3</t>
    </r>
    <r>
      <rPr>
        <b/>
        <sz val="9"/>
        <rFont val="Arial"/>
        <family val="2"/>
      </rPr>
      <t>]</t>
    </r>
  </si>
  <si>
    <t>Annuitätsfaktor-Prozentsatz =rmz(Zinssatz, Zeitraum, -1)</t>
  </si>
  <si>
    <t>gültig ab</t>
  </si>
  <si>
    <t>Stichtag der Erhebung</t>
  </si>
  <si>
    <t>zugrunde liegender Durchschnittszinssatz</t>
  </si>
  <si>
    <t>Kalkulationszinsatz (Referenzssinsatz gemäss VMWG): https://www.bwo.admin.ch/bwo/de/home/mietrecht/referenzzinssatz/entwicklung-referenzzinssatz-und-durchschnittszinssatz.html</t>
  </si>
  <si>
    <t>Aktueller Wert:</t>
  </si>
  <si>
    <t>https://www.bwo.admin.ch/bwo/de/home/mietrecht/referenzzinssatz/entwicklung-referenzzinssatz-und-durchschnittszinssatz.html</t>
  </si>
  <si>
    <t>Nutzungsgrad / Jahresarbeitszahl (gemäss Formular EN101b EnDK)</t>
  </si>
  <si>
    <t>Investitionskosten</t>
  </si>
  <si>
    <t>Honorare</t>
  </si>
  <si>
    <t>Leistung [kW]</t>
  </si>
  <si>
    <t>Technisches [CHF]</t>
  </si>
  <si>
    <t>Bauliches [CHF]</t>
  </si>
  <si>
    <t>Honorare [CHF]</t>
  </si>
  <si>
    <t>Leistung (range) [kW]</t>
  </si>
  <si>
    <t>3.1 Technisches</t>
  </si>
  <si>
    <t>3.1 Bauliches</t>
  </si>
  <si>
    <t>3.2 Honorare</t>
  </si>
  <si>
    <t>Stromverbraucherprofil</t>
  </si>
  <si>
    <t>1.1/1.5</t>
  </si>
  <si>
    <t>H6</t>
  </si>
  <si>
    <t>H7</t>
  </si>
  <si>
    <t>C7</t>
  </si>
  <si>
    <t>C3</t>
  </si>
  <si>
    <t>C4</t>
  </si>
  <si>
    <t>C5</t>
  </si>
  <si>
    <t>C6</t>
  </si>
  <si>
    <t>WP-Luft (i)</t>
  </si>
  <si>
    <t>WP-Luft (a)</t>
  </si>
  <si>
    <t>Unterschriften</t>
  </si>
  <si>
    <t>Name und Adresse bzw. Firmenstempel</t>
  </si>
  <si>
    <t>Nachweis erarbeitet durch</t>
  </si>
  <si>
    <t>Aktueller Wert</t>
  </si>
  <si>
    <r>
      <t>Durchschnitt der max. und eigentlichen CO</t>
    </r>
    <r>
      <rPr>
        <vertAlign val="subscript"/>
        <sz val="11"/>
        <rFont val="Calibri"/>
        <family val="2"/>
        <scheme val="minor"/>
      </rPr>
      <t>2</t>
    </r>
    <r>
      <rPr>
        <sz val="11"/>
        <rFont val="Calibri"/>
        <family val="2"/>
        <scheme val="minor"/>
      </rPr>
      <t>-Abgabe [Fr./t CO</t>
    </r>
    <r>
      <rPr>
        <vertAlign val="subscript"/>
        <sz val="11"/>
        <rFont val="Calibri"/>
        <family val="2"/>
        <scheme val="minor"/>
      </rPr>
      <t>2</t>
    </r>
    <r>
      <rPr>
        <sz val="11"/>
        <rFont val="Calibri"/>
        <family val="2"/>
        <scheme val="minor"/>
      </rPr>
      <t>]</t>
    </r>
  </si>
  <si>
    <t>H1</t>
  </si>
  <si>
    <t>H2</t>
  </si>
  <si>
    <t>H3</t>
  </si>
  <si>
    <t>H4</t>
  </si>
  <si>
    <t>H5</t>
  </si>
  <si>
    <t>H8</t>
  </si>
  <si>
    <t>C1</t>
  </si>
  <si>
    <t>C2</t>
  </si>
  <si>
    <t>Resultat für Berechnungsgrundlage</t>
  </si>
  <si>
    <t>Holzpellets [Rp./kWh exkl. MwSt.]</t>
  </si>
  <si>
    <t>Holzpellets [Rp./kWh inkl. aktueller MwSt.]</t>
  </si>
  <si>
    <t>bis 7</t>
  </si>
  <si>
    <t>ab 7 bis 28</t>
  </si>
  <si>
    <t>ab 28 bis 68</t>
  </si>
  <si>
    <t>ab 68 bis 190</t>
  </si>
  <si>
    <t>ab 190</t>
  </si>
  <si>
    <t>1)</t>
  </si>
  <si>
    <t>https://www.bafu.admin.ch/bafu/de/home/themen/klima/fachinformationen/klimapolitik/co2-abgabe/erhebung-der-co2-abgabe-auf-brennstoffen.html</t>
  </si>
  <si>
    <r>
      <t>Max. CO</t>
    </r>
    <r>
      <rPr>
        <vertAlign val="subscript"/>
        <sz val="11"/>
        <rFont val="Calibri"/>
        <family val="2"/>
        <scheme val="minor"/>
      </rPr>
      <t>2</t>
    </r>
    <r>
      <rPr>
        <sz val="11"/>
        <rFont val="Calibri"/>
        <family val="2"/>
        <scheme val="minor"/>
      </rPr>
      <t>-Abgabe laut Gesetz [Fr./t CO</t>
    </r>
    <r>
      <rPr>
        <vertAlign val="subscript"/>
        <sz val="11"/>
        <rFont val="Calibri"/>
        <family val="2"/>
        <scheme val="minor"/>
      </rPr>
      <t>2</t>
    </r>
    <r>
      <rPr>
        <sz val="11"/>
        <rFont val="Calibri"/>
        <family val="2"/>
        <scheme val="minor"/>
      </rPr>
      <t>]</t>
    </r>
    <r>
      <rPr>
        <vertAlign val="superscript"/>
        <sz val="11"/>
        <rFont val="Calibri"/>
        <family val="2"/>
        <scheme val="minor"/>
      </rPr>
      <t>1)</t>
    </r>
  </si>
  <si>
    <t>2)</t>
  </si>
  <si>
    <t>5)</t>
  </si>
  <si>
    <t>6)</t>
  </si>
  <si>
    <t>7)</t>
  </si>
  <si>
    <t>8)</t>
  </si>
  <si>
    <t>9)</t>
  </si>
  <si>
    <t>10)</t>
  </si>
  <si>
    <t>11)</t>
  </si>
  <si>
    <t>12)</t>
  </si>
  <si>
    <t>13)</t>
  </si>
  <si>
    <t>Quellen</t>
  </si>
  <si>
    <t>https://www.bafu.admin.ch/co2-abgabe, https://www.bafu.admin.ch/bafu/de/home/themen/klima/mitteilungen.msg-id-58016.html</t>
  </si>
  <si>
    <r>
      <t>CO</t>
    </r>
    <r>
      <rPr>
        <vertAlign val="subscript"/>
        <sz val="11"/>
        <rFont val="Calibri"/>
        <family val="2"/>
        <scheme val="minor"/>
      </rPr>
      <t>2</t>
    </r>
    <r>
      <rPr>
        <sz val="11"/>
        <rFont val="Calibri"/>
        <family val="2"/>
        <scheme val="minor"/>
      </rPr>
      <t>-Abgabe [Fr./t CO</t>
    </r>
    <r>
      <rPr>
        <vertAlign val="subscript"/>
        <sz val="11"/>
        <rFont val="Calibri"/>
        <family val="2"/>
        <scheme val="minor"/>
      </rPr>
      <t>2</t>
    </r>
    <r>
      <rPr>
        <sz val="11"/>
        <rFont val="Calibri"/>
        <family val="2"/>
        <scheme val="minor"/>
      </rPr>
      <t>]</t>
    </r>
    <r>
      <rPr>
        <vertAlign val="superscript"/>
        <sz val="11"/>
        <rFont val="Calibri"/>
        <family val="2"/>
        <scheme val="minor"/>
      </rPr>
      <t>2)</t>
    </r>
  </si>
  <si>
    <r>
      <t>MwSt. [%]</t>
    </r>
    <r>
      <rPr>
        <vertAlign val="superscript"/>
        <sz val="11"/>
        <rFont val="Calibri"/>
        <family val="2"/>
        <scheme val="minor"/>
      </rPr>
      <t>5)</t>
    </r>
  </si>
  <si>
    <t>https://www.estv.admin.ch/estv/de/home/mehrwertsteuer/fachinformationen/steuersaetze/entwicklung-mwst.html</t>
  </si>
  <si>
    <r>
      <t>Teuerungsindex [%]</t>
    </r>
    <r>
      <rPr>
        <vertAlign val="superscript"/>
        <sz val="11"/>
        <rFont val="Calibri"/>
        <family val="2"/>
        <scheme val="minor"/>
      </rPr>
      <t>6)</t>
    </r>
  </si>
  <si>
    <r>
      <t>Landesindex der Konsumentengüter (Sep 1966=100)</t>
    </r>
    <r>
      <rPr>
        <vertAlign val="superscript"/>
        <sz val="11"/>
        <rFont val="Calibri"/>
        <family val="2"/>
        <scheme val="minor"/>
      </rPr>
      <t>6)</t>
    </r>
  </si>
  <si>
    <r>
      <t>Strompreis (H1)</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</si>
  <si>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(H1)</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</si>
  <si>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(H2)</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</si>
  <si>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(H2)</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</si>
  <si>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(H3)</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</si>
  <si>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(H3)</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</si>
  <si>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(H4)</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</si>
  <si>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(H4)</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</si>
  <si>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(H5)</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</si>
  <si>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(H5)</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</si>
  <si>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(H6)</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</si>
  <si>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(H6)</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</si>
  <si>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(H7)</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</si>
  <si>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(H7)</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</si>
  <si>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(H8)</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</si>
  <si>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(H8)</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</si>
  <si>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(C1)</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</si>
  <si>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(C1)</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</si>
  <si>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(C2)</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</si>
  <si>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(C2)</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</si>
  <si>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(C3)</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</si>
  <si>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(C3)</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</si>
  <si>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(C4)</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</si>
  <si>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(C4)</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</si>
  <si>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(C5)</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</si>
  <si>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(C5)</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</si>
  <si>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(C6)</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</si>
  <si>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(C6)</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</si>
  <si>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r>
      <t>Strompreis (C7)</t>
    </r>
    <r>
      <rPr>
        <vertAlign val="superscript"/>
        <sz val="11"/>
        <color theme="9" tint="-0.249977111117893"/>
        <rFont val="Calibri"/>
        <family val="2"/>
        <scheme val="minor"/>
      </rPr>
      <t>7)</t>
    </r>
    <r>
      <rPr>
        <sz val="11"/>
        <color theme="9" tint="-0.249977111117893"/>
        <rFont val="Calibri"/>
        <family val="2"/>
        <scheme val="minor"/>
      </rPr>
      <t xml:space="preserve"> [Rp./kWh exkl. MwSt.]</t>
    </r>
    <r>
      <rPr>
        <vertAlign val="superscript"/>
        <sz val="11"/>
        <color theme="9" tint="-0.249977111117893"/>
        <rFont val="Calibri"/>
        <family val="2"/>
        <scheme val="minor"/>
      </rPr>
      <t>8)</t>
    </r>
  </si>
  <si>
    <r>
      <t>Strompreis (C7)</t>
    </r>
    <r>
      <rPr>
        <vertAlign val="superscript"/>
        <sz val="11"/>
        <color theme="9" tint="-0.249977111117893"/>
        <rFont val="Calibri"/>
        <family val="2"/>
        <scheme val="minor"/>
      </rPr>
      <t>7)</t>
    </r>
    <r>
      <rPr>
        <sz val="11"/>
        <color theme="9" tint="-0.249977111117893"/>
        <rFont val="Calibri"/>
        <family val="2"/>
        <scheme val="minor"/>
      </rPr>
      <t xml:space="preserve"> [Rp./kWh inkl. aktueller MwSt.]</t>
    </r>
  </si>
  <si>
    <t>https://www.strompreis.elcom.admin.ch/Map/ShowSwissMap.aspx (Preise = Totalpreise von Standardprodukt / ab 2018 Standartprodukt, vorher günstigstes Produkt)</t>
  </si>
  <si>
    <r>
      <t>Holzpellets [Fr./6000 kg inkl. MwSt.]</t>
    </r>
    <r>
      <rPr>
        <vertAlign val="superscript"/>
        <sz val="11"/>
        <color rgb="FF7030A0"/>
        <rFont val="Calibri"/>
        <family val="2"/>
        <scheme val="minor"/>
      </rPr>
      <t>9)</t>
    </r>
  </si>
  <si>
    <r>
      <t>Holzpellets [Rp./kWh inkl. MwSt.]</t>
    </r>
    <r>
      <rPr>
        <vertAlign val="superscript"/>
        <sz val="11"/>
        <color rgb="FF7030A0"/>
        <rFont val="Calibri"/>
        <family val="2"/>
        <scheme val="minor"/>
      </rPr>
      <t>10)</t>
    </r>
  </si>
  <si>
    <t>Heizwert von Holzpellets = 4.8 kWh/kg https://www.effizienzhaus-online.de/heizwert-von-pellets/#:~:text=Der%20Heizwert%20von%20Holzpellets%20liegt,Pellets%20etwa%20einem%20Liter%20Heiz%C3%B6l.</t>
  </si>
  <si>
    <t>Erfahrungswerte von Andreas Keel, Holzenergie Schweiz</t>
  </si>
  <si>
    <r>
      <t>Heizöl (6'001-9'000 l) [Fr./100 l inkl. MwSt. und inkl. CO</t>
    </r>
    <r>
      <rPr>
        <vertAlign val="subscript"/>
        <sz val="11"/>
        <color theme="7" tint="-0.249977111117893"/>
        <rFont val="Calibri"/>
        <family val="2"/>
        <scheme val="minor"/>
      </rPr>
      <t>2</t>
    </r>
    <r>
      <rPr>
        <sz val="11"/>
        <color theme="7" tint="-0.249977111117893"/>
        <rFont val="Calibri"/>
        <family val="2"/>
        <scheme val="minor"/>
      </rPr>
      <t>-Abgabe]</t>
    </r>
    <r>
      <rPr>
        <vertAlign val="superscript"/>
        <sz val="11"/>
        <color theme="7" tint="-0.249977111117893"/>
        <rFont val="Calibri"/>
        <family val="2"/>
        <scheme val="minor"/>
      </rPr>
      <t>9)</t>
    </r>
  </si>
  <si>
    <r>
      <t>Heizöl (6'001-9'000 l) [Fr./100 l inkl. MwSt. und exkl. CO</t>
    </r>
    <r>
      <rPr>
        <vertAlign val="subscript"/>
        <sz val="11"/>
        <color theme="7" tint="-0.249977111117893"/>
        <rFont val="Calibri"/>
        <family val="2"/>
        <scheme val="minor"/>
      </rPr>
      <t>2</t>
    </r>
    <r>
      <rPr>
        <sz val="11"/>
        <color theme="7" tint="-0.249977111117893"/>
        <rFont val="Calibri"/>
        <family val="2"/>
        <scheme val="minor"/>
      </rPr>
      <t>-Abgabe]</t>
    </r>
    <r>
      <rPr>
        <vertAlign val="superscript"/>
        <sz val="11"/>
        <color theme="7" tint="-0.249977111117893"/>
        <rFont val="Calibri"/>
        <family val="2"/>
        <scheme val="minor"/>
      </rPr>
      <t>9)</t>
    </r>
  </si>
  <si>
    <r>
      <t>Heizöl (6'001-9'000 l) [Fr./100 l exkl. MwSt. und exkl. CO</t>
    </r>
    <r>
      <rPr>
        <vertAlign val="subscript"/>
        <sz val="11"/>
        <color theme="7" tint="-0.249977111117893"/>
        <rFont val="Calibri"/>
        <family val="2"/>
        <scheme val="minor"/>
      </rPr>
      <t>2</t>
    </r>
    <r>
      <rPr>
        <sz val="11"/>
        <color theme="7" tint="-0.249977111117893"/>
        <rFont val="Calibri"/>
        <family val="2"/>
        <scheme val="minor"/>
      </rPr>
      <t>-Abgabe]</t>
    </r>
    <r>
      <rPr>
        <vertAlign val="superscript"/>
        <sz val="11"/>
        <color theme="7" tint="-0.249977111117893"/>
        <rFont val="Calibri"/>
        <family val="2"/>
        <scheme val="minor"/>
      </rPr>
      <t>9)</t>
    </r>
  </si>
  <si>
    <r>
      <t>Heizöl (6'001-9'000 l) [Fr./100 l exkl. MwSt. und inkl. aktueller Durchschnitts-CO</t>
    </r>
    <r>
      <rPr>
        <vertAlign val="subscript"/>
        <sz val="11"/>
        <color theme="7" tint="-0.249977111117893"/>
        <rFont val="Calibri"/>
        <family val="2"/>
        <scheme val="minor"/>
      </rPr>
      <t>2</t>
    </r>
    <r>
      <rPr>
        <sz val="11"/>
        <color theme="7" tint="-0.249977111117893"/>
        <rFont val="Calibri"/>
        <family val="2"/>
        <scheme val="minor"/>
      </rPr>
      <t>-Abgabe]</t>
    </r>
    <r>
      <rPr>
        <vertAlign val="superscript"/>
        <sz val="11"/>
        <color theme="7" tint="-0.249977111117893"/>
        <rFont val="Calibri"/>
        <family val="2"/>
        <scheme val="minor"/>
      </rPr>
      <t>9)</t>
    </r>
  </si>
  <si>
    <r>
      <t>Heizöl (6'001-9'000 l) [Fr./100 l inkl. aktueller MwSt. und inkl. aktueller Durchschnitts-CO</t>
    </r>
    <r>
      <rPr>
        <vertAlign val="subscript"/>
        <sz val="11"/>
        <color theme="7" tint="-0.249977111117893"/>
        <rFont val="Calibri"/>
        <family val="2"/>
        <scheme val="minor"/>
      </rPr>
      <t>2</t>
    </r>
    <r>
      <rPr>
        <sz val="11"/>
        <color theme="7" tint="-0.249977111117893"/>
        <rFont val="Calibri"/>
        <family val="2"/>
        <scheme val="minor"/>
      </rPr>
      <t>-Abgabe]</t>
    </r>
    <r>
      <rPr>
        <vertAlign val="superscript"/>
        <sz val="11"/>
        <color theme="7" tint="-0.249977111117893"/>
        <rFont val="Calibri"/>
        <family val="2"/>
        <scheme val="minor"/>
      </rPr>
      <t>9)</t>
    </r>
  </si>
  <si>
    <r>
      <t>Heizöl (6'001-9'000 l) [Rp./kWh inkl. aktueller MwSt. und inkl. aktueller Durchschnitts-CO</t>
    </r>
    <r>
      <rPr>
        <vertAlign val="subscript"/>
        <sz val="11"/>
        <color theme="7" tint="-0.249977111117893"/>
        <rFont val="Calibri"/>
        <family val="2"/>
        <scheme val="minor"/>
      </rPr>
      <t>2</t>
    </r>
    <r>
      <rPr>
        <sz val="11"/>
        <color theme="7" tint="-0.249977111117893"/>
        <rFont val="Calibri"/>
        <family val="2"/>
        <scheme val="minor"/>
      </rPr>
      <t>-Abgabe]</t>
    </r>
    <r>
      <rPr>
        <vertAlign val="superscript"/>
        <sz val="11"/>
        <color theme="7" tint="-0.249977111117893"/>
        <rFont val="Calibri"/>
        <family val="2"/>
        <scheme val="minor"/>
      </rPr>
      <t>9)12)</t>
    </r>
  </si>
  <si>
    <r>
      <t>Gaspreis (20'000 kWh) [Fr./kWh exkl. MwSt. und inkl. Aktueller Durchschnitts-CO</t>
    </r>
    <r>
      <rPr>
        <vertAlign val="subscript"/>
        <sz val="11"/>
        <color theme="8" tint="-0.249977111117893"/>
        <rFont val="Calibri"/>
        <family val="2"/>
        <scheme val="minor"/>
      </rPr>
      <t>2</t>
    </r>
    <r>
      <rPr>
        <sz val="11"/>
        <color theme="8" tint="-0.249977111117893"/>
        <rFont val="Calibri"/>
        <family val="2"/>
        <scheme val="minor"/>
      </rPr>
      <t>-Abgabe]</t>
    </r>
    <r>
      <rPr>
        <vertAlign val="superscript"/>
        <sz val="11"/>
        <color theme="8" tint="-0.249977111117893"/>
        <rFont val="Calibri"/>
        <family val="2"/>
        <scheme val="minor"/>
      </rPr>
      <t>9)</t>
    </r>
  </si>
  <si>
    <r>
      <t>Gaspreis (20'000 kWh) [Fr./kWh inkl. MwSt. und inkl. Aktueller Durchschnitts-CO</t>
    </r>
    <r>
      <rPr>
        <vertAlign val="subscript"/>
        <sz val="11"/>
        <color theme="8" tint="-0.249977111117893"/>
        <rFont val="Calibri"/>
        <family val="2"/>
        <scheme val="minor"/>
      </rPr>
      <t>2</t>
    </r>
    <r>
      <rPr>
        <sz val="11"/>
        <color theme="8" tint="-0.249977111117893"/>
        <rFont val="Calibri"/>
        <family val="2"/>
        <scheme val="minor"/>
      </rPr>
      <t>-Abgabe]</t>
    </r>
    <r>
      <rPr>
        <vertAlign val="superscript"/>
        <sz val="11"/>
        <color theme="8" tint="-0.249977111117893"/>
        <rFont val="Calibri"/>
        <family val="2"/>
        <scheme val="minor"/>
      </rPr>
      <t>9)</t>
    </r>
  </si>
  <si>
    <t>3.1 Bauliches 
(gerundet auf Tsd)</t>
  </si>
  <si>
    <t>3.1 Technik 
(gerundet auf Tsd)</t>
  </si>
  <si>
    <t>Strom wird in Verbrauchskategorien angegeben: Verbrauchsprofile typischer Haushalte:
H1: 1'600 kWh/Jahr: 2-Zimmerwohnung mit Elektroherd
H2: 2'500 kWh/Jahr: 4-Zimmerwohnung mit Elektroherd
H3: 4'500 kWh/Jahr: 4-Zimmerwohnung mit Elektroherd und Elektroboiler
H4: 4'500 kWh/Jahr: 5-Zimmerwohnung mit Elektroherd und Tumbler (ohne Elektroboiler)
H5: 7'500 kWh/Jahr: 5-Zimmer-Einfamilienhaus mit Elektroherd, Elektroboiler und Tumbler
H6: 25'000 kWh/Jahr: 5-Zimmer-Einfamilienhaus mit Elektroherd, Elektroboiler, Tumbler und mit elektrischer Widerstandsheizung -&gt; Berechnungsgrundlage
H7: 13'000 kWh/Jahr: 5-Zimmer-Einfamilienhaus mit Elektroherd, Elektroboiler, Tumbler, Wärmepumpe 5 kW zur Beheizung
H8: 7'500 kWh/Jahr: Grosse, hoch elektrifizierte Eigentumswohnung
Verbrauchsprofile von Gewerbe- und Industriebetrieben:
C1: 8'000 kWh/Jahr: Kleinstbetrieb, max. beanspruchte Leistung: 8 kW
C2: 30'000 kWh/Jahr: Kleinbetrieb, max. beanspruchte Leistung: 15 kW
C3: 150'000 kWh/Jahr: Mittlerer Betrieb, max. beanspruchte Leistung: 50 kW
C4: 500'000 kWh/Jahr: Grosser Betrieb , max. beanspruchte Leistung: 150 kW, Niederspannung
C5: 500'000 kWh/Jahr: Grosser Betrieb, max. beanspruchte Leistung: 150 kW, Mittelspannung, eigene Transformatorenstation
C6: 1'500'000 kWh/Jahr: Grosser Betrieb, max. beanspruchte Leistung: 400 kW, Mittelspannung, eigene Transformatorenstation
C7: 7'500'000 kWh/Jahr: Grosser Betrieb, max. beanspruchte Leistung: 1'630 kW, Mittelspannung, eigene Transformatorenstation</t>
  </si>
  <si>
    <t>Ergebnisse für:</t>
  </si>
  <si>
    <t>K.A.</t>
  </si>
  <si>
    <t>Holzschnitzel [für 190 kW Kesselleistung, Rp./kWh inkl. aktueller MwSt.]</t>
  </si>
  <si>
    <t>kWh/m²a</t>
  </si>
  <si>
    <t>Warmwasserbedarf nach SIA 380/1 Ausgabe 2016</t>
  </si>
  <si>
    <t>4.1 Erdsonde / Elektrozuleitung / Anschlussgebühren FW</t>
  </si>
  <si>
    <t>4.1 Erdwärmesonde / Elektrozuleitung / Anschluss Fernwärme
(gerundet auf Tsd)</t>
  </si>
  <si>
    <t>Erdsonde / Elektrozuleitung / Anschlussgebühren FW [CHF]</t>
  </si>
  <si>
    <t>Hypothekarischer Referenzzinssatz bei Mietverhältnissen</t>
  </si>
  <si>
    <t>Technisches</t>
  </si>
  <si>
    <t>Bauliches</t>
  </si>
  <si>
    <t>Erdsonde/…/Anschlussg.</t>
  </si>
  <si>
    <t>Berechnungsgrundlagen - Stützwerte</t>
  </si>
  <si>
    <t xml:space="preserve">Berechnung der linearen Regression y= ax+b mit  a:Steigung  b:Achsenabschnitt </t>
  </si>
  <si>
    <t>b</t>
  </si>
  <si>
    <t>a</t>
  </si>
  <si>
    <t xml:space="preserve"> kW Heizleistungsbedarf</t>
  </si>
  <si>
    <t>Kostenformeln ausgewertet bei diesem Heizleistungsbedarf</t>
  </si>
  <si>
    <t>Log-Journal zu dieser Datei</t>
  </si>
  <si>
    <t>Datum</t>
  </si>
  <si>
    <t>Wer</t>
  </si>
  <si>
    <t>Version</t>
  </si>
  <si>
    <t>LF</t>
  </si>
  <si>
    <t>Änderung</t>
  </si>
  <si>
    <t>CG</t>
  </si>
  <si>
    <t>Form.gültig</t>
  </si>
  <si>
    <t xml:space="preserve">Gültig bis: </t>
  </si>
  <si>
    <t xml:space="preserve">Version: </t>
  </si>
  <si>
    <t>Letzte Revision:</t>
  </si>
  <si>
    <t>V_0.12</t>
  </si>
  <si>
    <t>V_0.11</t>
  </si>
  <si>
    <t>V_0</t>
  </si>
  <si>
    <t>Erste Version entwickelt im Praktikum bei AWEL/Energie</t>
  </si>
  <si>
    <t>Investitionskostenberechnung ergänzt und automatisiert</t>
  </si>
  <si>
    <t>Objekt</t>
  </si>
  <si>
    <t>V_0.13</t>
  </si>
  <si>
    <r>
      <t>Landesindex der Konsumentengüter (Mai 2000=100)</t>
    </r>
    <r>
      <rPr>
        <vertAlign val="superscript"/>
        <sz val="11"/>
        <rFont val="Calibri"/>
        <family val="2"/>
        <scheme val="minor"/>
      </rPr>
      <t>6)</t>
    </r>
  </si>
  <si>
    <t>https://www.bfs.admin.ch/asset/de/cc-d-05.02.08   resp.     https://www.bfs.admin.ch/bfs/de/home/statistiken/preise/landesindex-konsumentenpreise.assetdetail.13407072.html</t>
  </si>
  <si>
    <t>https://www.bfs.admin.ch/asset/de/su-d-05.02.91    resp.      https://www.bfs.admin.ch/bfs/de/home/statistiken/preise/landesindex-konsumentenpreise/detailresultate.assetdetail.13407088.html</t>
  </si>
  <si>
    <t>Nachführung Daten Energiepreise Stand heute</t>
  </si>
  <si>
    <t xml:space="preserve"> </t>
  </si>
  <si>
    <t>EGID Abfrage ergänzt</t>
  </si>
  <si>
    <t>V_0.14</t>
  </si>
  <si>
    <t>V_0.15</t>
  </si>
  <si>
    <t>Fehler bei Ziffer 3.3 korrigiert</t>
  </si>
  <si>
    <t>V_0.16</t>
  </si>
  <si>
    <t xml:space="preserve">Raumkosten korrigiert. Datum angepasst. </t>
  </si>
  <si>
    <t>Noch zu definieren</t>
  </si>
  <si>
    <t>bis 70 kWth [Fr.]</t>
  </si>
  <si>
    <t>Voraussichtlicher Förderbeitrag Stadt Luzern</t>
  </si>
  <si>
    <t>Voraussichtlicher Förderbeitrag Kanton Luzern</t>
  </si>
  <si>
    <t>Beitrag alles [Fr.]</t>
  </si>
  <si>
    <t>Bis 70 kW [Fr.]</t>
  </si>
  <si>
    <t>GEAK Energieklasse</t>
  </si>
  <si>
    <t>A</t>
  </si>
  <si>
    <t>B</t>
  </si>
  <si>
    <t>C</t>
  </si>
  <si>
    <t>D</t>
  </si>
  <si>
    <t>E</t>
  </si>
  <si>
    <t>F</t>
  </si>
  <si>
    <t>G</t>
  </si>
  <si>
    <t>SLU_0.0</t>
  </si>
  <si>
    <t>RM</t>
  </si>
  <si>
    <t>Anpassung für Anwendung Stadt Luzern</t>
  </si>
  <si>
    <t>1.10</t>
  </si>
  <si>
    <t>1.8</t>
  </si>
  <si>
    <t>1.9</t>
  </si>
  <si>
    <t>1.11</t>
  </si>
  <si>
    <t>Adresse</t>
  </si>
  <si>
    <t>1.1</t>
  </si>
  <si>
    <t>1.2</t>
  </si>
  <si>
    <t>1.7</t>
  </si>
  <si>
    <t>1.3</t>
  </si>
  <si>
    <t>1.4</t>
  </si>
  <si>
    <t>1.5</t>
  </si>
  <si>
    <t>1.6</t>
  </si>
  <si>
    <t xml:space="preserve"> 
</t>
  </si>
  <si>
    <t>Grundpreis</t>
  </si>
  <si>
    <t>G4</t>
  </si>
  <si>
    <t>G6</t>
  </si>
  <si>
    <t>G10</t>
  </si>
  <si>
    <t>G16</t>
  </si>
  <si>
    <t>G25</t>
  </si>
  <si>
    <t>G40</t>
  </si>
  <si>
    <t>G65</t>
  </si>
  <si>
    <t>G100</t>
  </si>
  <si>
    <t>G160</t>
  </si>
  <si>
    <t>G250</t>
  </si>
  <si>
    <t>Grenzwert [kW]</t>
  </si>
  <si>
    <t>Kategorie</t>
  </si>
  <si>
    <t>Grenzwert [kWh]</t>
  </si>
  <si>
    <t>Preis [CHF/Jahr]</t>
  </si>
  <si>
    <t>Preis [CHF/kWh]</t>
  </si>
  <si>
    <t>Daten von ewl (https://www.ewl-luzern.ch/privatkunden/energie/gas/angebote/)</t>
  </si>
  <si>
    <t>Berechnung</t>
  </si>
  <si>
    <t>Arbeitspreis</t>
  </si>
  <si>
    <t>Resultat exkl. MWSt</t>
  </si>
  <si>
    <t>Endresultat [Rp./kWh]</t>
  </si>
  <si>
    <t>Beizulegende Dokumente</t>
  </si>
  <si>
    <t>ewl</t>
  </si>
  <si>
    <t>CKW</t>
  </si>
  <si>
    <t>Stromabsatz in SLU</t>
  </si>
  <si>
    <t>Gewichtetes Mittel</t>
  </si>
  <si>
    <t>[Rp./kWh]</t>
  </si>
  <si>
    <t>Minergie-Standard zertifiziert?</t>
  </si>
  <si>
    <r>
      <t xml:space="preserve">Ist eine Erdwärmesonde </t>
    </r>
    <r>
      <rPr>
        <b/>
        <sz val="9"/>
        <rFont val="Arial"/>
        <family val="2"/>
      </rPr>
      <t>bewilligungsfähig</t>
    </r>
    <r>
      <rPr>
        <sz val="9"/>
        <rFont val="Arial"/>
        <family val="2"/>
      </rPr>
      <t xml:space="preserve">? </t>
    </r>
  </si>
  <si>
    <t>3.4 Voraussichtlicher Förderbeitrag kantonal</t>
  </si>
  <si>
    <t>3.5 Voraussichtlicher Förderbeitrag kommunal</t>
  </si>
  <si>
    <t>höher</t>
  </si>
  <si>
    <t>G400</t>
  </si>
  <si>
    <t>Fernwärme Luzern AG</t>
  </si>
  <si>
    <t>Fernwärme Luzern</t>
  </si>
  <si>
    <t>Wärmenetze</t>
  </si>
  <si>
    <t>11 bis 20</t>
  </si>
  <si>
    <t>21 bis 40</t>
  </si>
  <si>
    <t>41 bis 60</t>
  </si>
  <si>
    <t>61 bis 80</t>
  </si>
  <si>
    <t>81 bis 120</t>
  </si>
  <si>
    <t>121 bis 250</t>
  </si>
  <si>
    <t>251 bis 1000</t>
  </si>
  <si>
    <t>bis 10</t>
  </si>
  <si>
    <t>See-Energie</t>
  </si>
  <si>
    <t>121 bis 180</t>
  </si>
  <si>
    <t>181 bis 250</t>
  </si>
  <si>
    <t>251 bis 500</t>
  </si>
  <si>
    <t>Ist ein Anschluss an Wärmenetz möglich?</t>
  </si>
  <si>
    <t>Wärmenetz</t>
  </si>
  <si>
    <t>Wärmenetz Anbieter</t>
  </si>
  <si>
    <t>Summe</t>
  </si>
  <si>
    <t>Preis [CHF/kW/Monat]</t>
  </si>
  <si>
    <t>Preis [Rp./kWh]</t>
  </si>
  <si>
    <t>[CHF]</t>
  </si>
  <si>
    <t>Berechnung laut ewl</t>
  </si>
  <si>
    <r>
      <rPr>
        <sz val="11"/>
        <color rgb="FFCC3399"/>
        <rFont val="Calibri"/>
        <family val="2"/>
        <scheme val="minor"/>
      </rPr>
      <t>Fernwärme Luzern AG [Rp./kWh]</t>
    </r>
    <r>
      <rPr>
        <vertAlign val="superscript"/>
        <sz val="11"/>
        <color rgb="FFCC3399"/>
        <rFont val="Calibri"/>
        <family val="2"/>
        <scheme val="minor"/>
      </rPr>
      <t xml:space="preserve"> 13)</t>
    </r>
  </si>
  <si>
    <r>
      <rPr>
        <sz val="11"/>
        <color rgb="FFCC3399"/>
        <rFont val="Calibri"/>
        <family val="2"/>
        <scheme val="minor"/>
      </rPr>
      <t>See-Energie [Rp./kWh]</t>
    </r>
    <r>
      <rPr>
        <vertAlign val="superscript"/>
        <sz val="11"/>
        <color rgb="FFCC3399"/>
        <rFont val="Calibri"/>
        <family val="2"/>
        <scheme val="minor"/>
      </rPr>
      <t xml:space="preserve"> 13)</t>
    </r>
  </si>
  <si>
    <r>
      <rPr>
        <sz val="11"/>
        <color rgb="FFCC3399"/>
        <rFont val="Calibri"/>
        <family val="2"/>
        <scheme val="minor"/>
      </rPr>
      <t>Fernwärme Luzern AG [Rp./kWh inkl. MWSt und inkl. Aktueller Durchschnitts-CO</t>
    </r>
    <r>
      <rPr>
        <vertAlign val="subscript"/>
        <sz val="11"/>
        <color rgb="FFCC3399"/>
        <rFont val="Calibri"/>
        <family val="2"/>
        <scheme val="minor"/>
      </rPr>
      <t>2</t>
    </r>
    <r>
      <rPr>
        <sz val="11"/>
        <color rgb="FFCC3399"/>
        <rFont val="Calibri"/>
        <family val="2"/>
        <scheme val="minor"/>
      </rPr>
      <t xml:space="preserve"> Abgabe]</t>
    </r>
    <r>
      <rPr>
        <vertAlign val="superscript"/>
        <sz val="11"/>
        <color rgb="FFCC3399"/>
        <rFont val="Calibri"/>
        <family val="2"/>
        <scheme val="minor"/>
      </rPr>
      <t xml:space="preserve"> 13)</t>
    </r>
  </si>
  <si>
    <r>
      <rPr>
        <sz val="11"/>
        <color rgb="FFCC3399"/>
        <rFont val="Calibri"/>
        <family val="2"/>
        <scheme val="minor"/>
      </rPr>
      <t>See-Energie [Rp./kWh inkl. MWSt und inkl. Aktueller Durchschnitts-CO</t>
    </r>
    <r>
      <rPr>
        <vertAlign val="subscript"/>
        <sz val="11"/>
        <color rgb="FFCC3399"/>
        <rFont val="Calibri"/>
        <family val="2"/>
        <scheme val="minor"/>
      </rPr>
      <t>2</t>
    </r>
    <r>
      <rPr>
        <sz val="11"/>
        <color rgb="FFCC3399"/>
        <rFont val="Calibri"/>
        <family val="2"/>
        <scheme val="minor"/>
      </rPr>
      <t xml:space="preserve"> Abgabe]</t>
    </r>
    <r>
      <rPr>
        <vertAlign val="superscript"/>
        <sz val="11"/>
        <color rgb="FFCC3399"/>
        <rFont val="Calibri"/>
        <family val="2"/>
        <scheme val="minor"/>
      </rPr>
      <t xml:space="preserve"> 13)</t>
    </r>
  </si>
  <si>
    <r>
      <rPr>
        <sz val="11"/>
        <color rgb="FFCC3399"/>
        <rFont val="Calibri"/>
        <family val="2"/>
        <scheme val="minor"/>
      </rPr>
      <t>Fernwärme Luzern AG [Rp./kWh exkl. MWSt und inkl. Aktueller Durchschnitts-CO</t>
    </r>
    <r>
      <rPr>
        <vertAlign val="subscript"/>
        <sz val="11"/>
        <color rgb="FFCC3399"/>
        <rFont val="Calibri"/>
        <family val="2"/>
        <scheme val="minor"/>
      </rPr>
      <t>2</t>
    </r>
    <r>
      <rPr>
        <sz val="11"/>
        <color rgb="FFCC3399"/>
        <rFont val="Calibri"/>
        <family val="2"/>
        <scheme val="minor"/>
      </rPr>
      <t xml:space="preserve"> Abgabe]</t>
    </r>
    <r>
      <rPr>
        <vertAlign val="superscript"/>
        <sz val="11"/>
        <color rgb="FFCC3399"/>
        <rFont val="Calibri"/>
        <family val="2"/>
        <scheme val="minor"/>
      </rPr>
      <t xml:space="preserve"> 13)</t>
    </r>
  </si>
  <si>
    <r>
      <rPr>
        <sz val="11"/>
        <color rgb="FFCC3399"/>
        <rFont val="Calibri"/>
        <family val="2"/>
        <scheme val="minor"/>
      </rPr>
      <t>Anteil Gas Fernwärmemix [%]</t>
    </r>
    <r>
      <rPr>
        <vertAlign val="superscript"/>
        <sz val="11"/>
        <color rgb="FFCC3399"/>
        <rFont val="Calibri"/>
        <family val="2"/>
        <scheme val="minor"/>
      </rPr>
      <t xml:space="preserve"> 13)</t>
    </r>
  </si>
  <si>
    <r>
      <rPr>
        <sz val="11"/>
        <color rgb="FFCC3399"/>
        <rFont val="Calibri"/>
        <family val="2"/>
        <scheme val="minor"/>
      </rPr>
      <t>See-Energie [Rp./kWh exkl. MWSt und inkl. Aktueller Durchschnitts-CO</t>
    </r>
    <r>
      <rPr>
        <vertAlign val="subscript"/>
        <sz val="11"/>
        <color rgb="FFCC3399"/>
        <rFont val="Calibri"/>
        <family val="2"/>
        <scheme val="minor"/>
      </rPr>
      <t>2</t>
    </r>
    <r>
      <rPr>
        <sz val="11"/>
        <color rgb="FFCC3399"/>
        <rFont val="Calibri"/>
        <family val="2"/>
        <scheme val="minor"/>
      </rPr>
      <t xml:space="preserve"> Abgabe]</t>
    </r>
    <r>
      <rPr>
        <vertAlign val="superscript"/>
        <sz val="11"/>
        <color rgb="FFCC3399"/>
        <rFont val="Calibri"/>
        <family val="2"/>
        <scheme val="minor"/>
      </rPr>
      <t xml:space="preserve"> 13)</t>
    </r>
  </si>
  <si>
    <t>Webseite GWR</t>
  </si>
  <si>
    <t>Resultat</t>
  </si>
  <si>
    <t>EGID_EDID</t>
  </si>
  <si>
    <t>Gebäudeinformationen</t>
  </si>
  <si>
    <t>Gebäudeinformationen bereinigt</t>
  </si>
  <si>
    <t>Übersetzung</t>
  </si>
  <si>
    <t>Resultat Text</t>
  </si>
  <si>
    <t>Resultat (code)</t>
  </si>
  <si>
    <t>Variabel</t>
  </si>
  <si>
    <t>EBF</t>
  </si>
  <si>
    <t>GEBF</t>
  </si>
  <si>
    <t>Wärmeerzeuger Heizung 1</t>
  </si>
  <si>
    <t>GWAERZH1</t>
  </si>
  <si>
    <t>Energie-/Wärmequelle 1</t>
  </si>
  <si>
    <t>GENH1</t>
  </si>
  <si>
    <t>Wärmeerzeuger Warmwasser 1</t>
  </si>
  <si>
    <t>GWAERZW1</t>
  </si>
  <si>
    <t>Energie-/Wärmequelle Warmwasser 1</t>
  </si>
  <si>
    <t>GENW1</t>
  </si>
  <si>
    <t>Wärmeerzeuger Heizung 2</t>
  </si>
  <si>
    <t>GWAERZH2</t>
  </si>
  <si>
    <t>Energie-/Wärmequelle 2</t>
  </si>
  <si>
    <t>GENH2</t>
  </si>
  <si>
    <t>Wärmeerzeuger Warmwasser 2</t>
  </si>
  <si>
    <t>GWAERZW2</t>
  </si>
  <si>
    <t>GENW2</t>
  </si>
  <si>
    <t>Bemerkung: Die Ergebnisse in der oberen Tabelle sind nur Richtwerte. Die Übersetzung der Energie-/Wärmequellen kann unten nachgelesen werden.</t>
  </si>
  <si>
    <t>Wärmeerzeuger Heizung</t>
  </si>
  <si>
    <t>Energie-/Wärmequelle Heizung/Warmwasser</t>
  </si>
  <si>
    <t>Code</t>
  </si>
  <si>
    <t>Wärmeerzeuger</t>
  </si>
  <si>
    <t>Heizsystem (Übersetzung)</t>
  </si>
  <si>
    <t>Kein Wärmeerzeuger</t>
  </si>
  <si>
    <t>Keine</t>
  </si>
  <si>
    <t>Wärmepumpe für ein Gebäude</t>
  </si>
  <si>
    <t>Luft</t>
  </si>
  <si>
    <t>Luft-Wasser Wärmepumpe</t>
  </si>
  <si>
    <t>Wärmepumpe für mehrere Gebäude</t>
  </si>
  <si>
    <t>Erdwärme (generisch)</t>
  </si>
  <si>
    <t>Sole-Wasser Wärmepumpe</t>
  </si>
  <si>
    <t>Thermische Solaranlage für ein Gebäude</t>
  </si>
  <si>
    <t>Erdwärmesonde</t>
  </si>
  <si>
    <t>Thermische Solaranlage für mehrere Gebäude</t>
  </si>
  <si>
    <t>Erdregister</t>
  </si>
  <si>
    <t>Heizkessel (generisch) für ein Gebäude</t>
  </si>
  <si>
    <t>Wasser (Grundwasser, Oberflächenwasser, Abwasser)</t>
  </si>
  <si>
    <t>Luft-Luft Wärmepumpe</t>
  </si>
  <si>
    <t>Heizkessel (generisch) für mehrere Gebäude</t>
  </si>
  <si>
    <t>Gas</t>
  </si>
  <si>
    <t>Heizkessel nicht kondensierend für ein Gebäude</t>
  </si>
  <si>
    <t>Heizöl</t>
  </si>
  <si>
    <t>Ölheizung</t>
  </si>
  <si>
    <t>Heizkessel nicht kondensierend für mehrere Gebäude</t>
  </si>
  <si>
    <t>Holz (generisch)</t>
  </si>
  <si>
    <t>Holzheizung</t>
  </si>
  <si>
    <t>Heizkessel kondensierend für ein Gebäude</t>
  </si>
  <si>
    <t>Holz (Stückholz)</t>
  </si>
  <si>
    <t>Stückholzheizung</t>
  </si>
  <si>
    <t>Heizkessel kondensierend für mehrere Gebäude</t>
  </si>
  <si>
    <t>Holz (Pellets)</t>
  </si>
  <si>
    <t>Pelletsheizung</t>
  </si>
  <si>
    <t>Ofen</t>
  </si>
  <si>
    <t>Holz (Schnitzel)</t>
  </si>
  <si>
    <t>Schnitzelheizung</t>
  </si>
  <si>
    <t>Wärmekraftkopplungsanlage für ein Gebäude</t>
  </si>
  <si>
    <t>Abwärme (innerhalb des Gebäudes)</t>
  </si>
  <si>
    <t>Abwärme</t>
  </si>
  <si>
    <t>Wärmekraftkopplungsanlage für mehrere Gebäude</t>
  </si>
  <si>
    <t>Elektrizität</t>
  </si>
  <si>
    <t>Elektroheizung</t>
  </si>
  <si>
    <t>Elektrospeicher-Zentralheizung für ein Gebäude</t>
  </si>
  <si>
    <t>Sonne (thermisch)</t>
  </si>
  <si>
    <t>Thermische Solaranlage</t>
  </si>
  <si>
    <t>Elektrospeicher-Zentralheizung für mehrere Gebäude</t>
  </si>
  <si>
    <t>Fernwärme (generisch)</t>
  </si>
  <si>
    <t>Fernwärme (Hochtemperatur)</t>
  </si>
  <si>
    <t>Wärmetauscher (einschliesslich für Fernwärme) für ein Gebäude</t>
  </si>
  <si>
    <t>Fernwärme (Niedertemperatur)</t>
  </si>
  <si>
    <t>Wärmetauscher (einschliesslich für Fernwärme) für mehrere Gebäude</t>
  </si>
  <si>
    <t>Unbestimmt</t>
  </si>
  <si>
    <t>Unbekannt</t>
  </si>
  <si>
    <t>Andere</t>
  </si>
  <si>
    <t>Wärmeerzeuger Warmwasser</t>
  </si>
  <si>
    <t>Wärmepumpe</t>
  </si>
  <si>
    <t>Heizkessel (generisch)</t>
  </si>
  <si>
    <t>Heizkessel nicht kondensierend</t>
  </si>
  <si>
    <t>Heizkessel kondensierend</t>
  </si>
  <si>
    <t>Wärmekraftkopplungsanlage</t>
  </si>
  <si>
    <t>Zentraler Elektroboiler</t>
  </si>
  <si>
    <t>Kleinboiler</t>
  </si>
  <si>
    <t>Wärmetauscher (einschliesslich für Fernwärme)</t>
  </si>
  <si>
    <t>Bezeichnung des Bauvorhabens</t>
  </si>
  <si>
    <t>Daten gemäss Eidg. Gebäude- und Wohnungsregister (GWR)</t>
  </si>
  <si>
    <t xml:space="preserve">EGID Nummer: </t>
  </si>
  <si>
    <t>Energiebezugsfläche [m²]:</t>
  </si>
  <si>
    <t xml:space="preserve">Wärmeerzeuger 1: </t>
  </si>
  <si>
    <t>Falls EGID und Karte nicht angezeigt werden: Adresse ergänzen/ändern.</t>
  </si>
  <si>
    <t>Die Daten aus dem GWR dienen nur zur Überprüfung und als Richtwert.</t>
  </si>
  <si>
    <t>Weitere Baukosten mit Amortisation 40 Jahre</t>
  </si>
  <si>
    <t>2</t>
  </si>
  <si>
    <t>2. Energiekosten</t>
  </si>
  <si>
    <t>1.8/1.10</t>
  </si>
  <si>
    <t>oder</t>
  </si>
  <si>
    <t xml:space="preserve">angeschlossen werden? Sollte dies unklar sein, bitte </t>
  </si>
  <si>
    <t>hier</t>
  </si>
  <si>
    <t>melden.</t>
  </si>
  <si>
    <t>Quelle Formular EN101b EnDK</t>
  </si>
  <si>
    <t>Quelle FAWA Studie</t>
  </si>
  <si>
    <t>Annäherung: Wie Erdwärme Sonde</t>
  </si>
  <si>
    <t>Formular EN101b EnDK</t>
  </si>
  <si>
    <t>Heizleistungsbedarf [kW]</t>
  </si>
  <si>
    <t>Nutzenergiebedarf [kWh]</t>
  </si>
  <si>
    <t>Heizleistung [kW]</t>
  </si>
  <si>
    <r>
      <t>Raumbedarf [m</t>
    </r>
    <r>
      <rPr>
        <vertAlign val="superscript"/>
        <sz val="9"/>
        <color theme="1"/>
        <rFont val="Arial"/>
        <family val="2"/>
      </rPr>
      <t>3</t>
    </r>
    <r>
      <rPr>
        <sz val="9"/>
        <color theme="1"/>
        <rFont val="Arial"/>
        <family val="2"/>
      </rPr>
      <t>]</t>
    </r>
  </si>
  <si>
    <t>&lt; 25</t>
  </si>
  <si>
    <t>= Faktor * Raumbedarf Gasheizung</t>
  </si>
  <si>
    <t>25-50</t>
  </si>
  <si>
    <t>50-70</t>
  </si>
  <si>
    <t>70-100</t>
  </si>
  <si>
    <t>100-250</t>
  </si>
  <si>
    <t>250-500</t>
  </si>
  <si>
    <t>&gt; 500</t>
  </si>
  <si>
    <t>= 15 * 2.4</t>
  </si>
  <si>
    <t>= (0.4 * Heizleistung + 5) * 2.4</t>
  </si>
  <si>
    <t>= (0.2 * Heizleistung + 15) * 2.4</t>
  </si>
  <si>
    <t>= (0.2 * Heizleistung + 15) * 2.8</t>
  </si>
  <si>
    <t>= (0.1667 * Heizleistung + 18.333) * 3</t>
  </si>
  <si>
    <t>&gt;250</t>
  </si>
  <si>
    <t>= (0.16 * Heizleistung + 20) * 3.5</t>
  </si>
  <si>
    <t>alle</t>
  </si>
  <si>
    <t>= Nutzenergiebedarf / (5.5 kWh/kg * 600 kg/m³ * 0.7)</t>
  </si>
  <si>
    <t>= Nutzenergiebedarf / (1000 kWh/m³ * 0.7)</t>
  </si>
  <si>
    <t>Formel Raumbedarf</t>
  </si>
  <si>
    <t>= 10 * 2.4</t>
  </si>
  <si>
    <t>= (0.2 * Heizleistung + 5) * 2.4</t>
  </si>
  <si>
    <t>= (0.1 * Heizleistung + 10) * 2.4</t>
  </si>
  <si>
    <t>= (0.1 * Heizleistung + 10) * 2.8</t>
  </si>
  <si>
    <t>= (0.0667 * Heizleistung + 13.333) * 2.8</t>
  </si>
  <si>
    <t>= (0.06 * Heizleistung + 15) * 2.8</t>
  </si>
  <si>
    <t>= (0.06 * Heizleistung + 15) * 3</t>
  </si>
  <si>
    <t>gemäss Formular EN-101b EnDK (Version 2.0) und Studie FAWA – Feldanalyse von Wärmepumpen-Anlagen</t>
  </si>
  <si>
    <t>https://www.strompreis.elcom.admin.ch/</t>
  </si>
  <si>
    <t>Holzenergie Schweiz, Erfahrungswerte, Kontakt: Andreas Keel (keel@holzenergie.ch) und Schnitzelindex</t>
  </si>
  <si>
    <t>Studie Externer Auftrag</t>
  </si>
  <si>
    <t>Voraussichtlicher Förderbeitrag (Kanton)</t>
  </si>
  <si>
    <t>Energiepreise (Heizöl, Holz-Pellets)</t>
  </si>
  <si>
    <t>Energiepreise (Gas)</t>
  </si>
  <si>
    <t>https://www.ewl-luzern.ch/privatkunden/energie/gas/angebote/</t>
  </si>
  <si>
    <t>Energiepreise (Wärmenetze)</t>
  </si>
  <si>
    <t>Raumbedarf</t>
  </si>
  <si>
    <r>
      <t>Holzschnitzel [Referenzpreis 2019 exkl. MwSt.]</t>
    </r>
    <r>
      <rPr>
        <vertAlign val="superscript"/>
        <sz val="11"/>
        <color rgb="FF002060"/>
        <rFont val="Calibri"/>
        <family val="2"/>
        <scheme val="minor"/>
      </rPr>
      <t>11)</t>
    </r>
  </si>
  <si>
    <t>https://www.holzenergie.ch/fileadmin/user_resources/01_Holzenergie/Energieholz_Richtpreise/22_Preisindex_Schnitzel.pdf</t>
  </si>
  <si>
    <t>Berechnung des Holzschnitzelpreises anhand des Erfahrungswerte von Andreas Keel aus dem Jahr 2019 und mit Hilfe des Preisindex: Preis 2019 x Index aktuelles Jahr / Index 2019</t>
  </si>
  <si>
    <t>14)</t>
  </si>
  <si>
    <t>15)</t>
  </si>
  <si>
    <t>Falls Anschluss an Wärmenetz möglich, welcher Anbieter?</t>
  </si>
  <si>
    <r>
      <rPr>
        <sz val="11"/>
        <color rgb="FFCC3399"/>
        <rFont val="Calibri"/>
        <family val="2"/>
        <scheme val="minor"/>
      </rPr>
      <t>Anteil Gas See-Energiemix [%]</t>
    </r>
    <r>
      <rPr>
        <vertAlign val="superscript"/>
        <sz val="11"/>
        <color rgb="FFCC3399"/>
        <rFont val="Calibri"/>
        <family val="2"/>
        <scheme val="minor"/>
      </rPr>
      <t xml:space="preserve"> 13)*</t>
    </r>
  </si>
  <si>
    <t>*</t>
  </si>
  <si>
    <t>Beabsichtigter Zustand ewl. Momentan deutlich höher wegen Umbau</t>
  </si>
  <si>
    <t>Heizkosten</t>
  </si>
  <si>
    <t>Sys1</t>
  </si>
  <si>
    <t>Sys2</t>
  </si>
  <si>
    <t>Sys3</t>
  </si>
  <si>
    <t>Sys4</t>
  </si>
  <si>
    <t>Sys5</t>
  </si>
  <si>
    <t>Heizsystem</t>
  </si>
  <si>
    <t>120% - Wert</t>
  </si>
  <si>
    <t>[CHF/kW]</t>
  </si>
  <si>
    <t>SLU_0.1</t>
  </si>
  <si>
    <t>Anpassungen aufgrund von Rückmeldungen, Abgleich Weiterentwichklungen ZH</t>
  </si>
  <si>
    <t>Erdwärmesonde, Elektrozuleitung</t>
  </si>
  <si>
    <t xml:space="preserve">Förderbeitrag berechnet aus dem kantonalen Fördermodell. </t>
  </si>
  <si>
    <t>Wird eine maximal 10 Jahre alte Öl- oder Gasheizung aufgrund eines Anschlusses an ein Wärmenetz ersetzt, kann zusätzlich ein Desinvestitionsbeitrag ersucht werden.</t>
  </si>
  <si>
    <t>Strasse und Nummer, sowie Postleitzahl ergänzen.</t>
  </si>
  <si>
    <t>Nur relevant, falls Erdwärmesonde bewilligungsfähig.</t>
  </si>
  <si>
    <t>Investitionskosten, die über 40 Jahre amortisiert werden (im Gegensatz zu Investitionen in Technisches, welche über 20 Jahre amortisiert werden), Beispiel: Sockel.</t>
  </si>
  <si>
    <t>Falls keine Minergie-Standard Zertifizierung vorhanden und die GEAK Energieklasse E oder schlechter ist, müssen unter 3.3 die Kosten zur Erfüllung §13 Abs. 2 KEnG ausgewiesen werden.</t>
  </si>
  <si>
    <t xml:space="preserve">Kann die Liegenschaft an eines der Wärmenetze </t>
  </si>
  <si>
    <t>SLU_0.2</t>
  </si>
  <si>
    <t>Update Gaspreise ewl</t>
  </si>
  <si>
    <t xml:space="preserve">Auf Karte Standort überprüfen. Ja bei "zulässig", "zulässig mit Auflagen" und "abklären". Auch zu beachten sind die </t>
  </si>
  <si>
    <t>Tool erhalten und übernommen von der Abt. Energie Kt. AG</t>
  </si>
  <si>
    <t>2.3</t>
  </si>
  <si>
    <t>2.4</t>
  </si>
  <si>
    <t>2.5</t>
  </si>
  <si>
    <t>Reduktion Energiebedarf §13 Abs. 2 lit. a KEnG</t>
  </si>
  <si>
    <t>Reduktion des Energiebedarfs aufgrund der Umsetzung einer Standardlösung nach §13 Abs. 2 lit. a KEnG. Grundannahme 10 % des ursprünglichen Energiebedarfs. Eigene Eingabe mit Nachweise belegen.</t>
  </si>
  <si>
    <t>Eigene Eingabe mit separatem Nachweis belegen. Ohne Eingabe wird mit Standard-Wert gerechnet.</t>
  </si>
  <si>
    <t xml:space="preserve">Elektrozuleitung bei WP-Anlagen prüfen! Eigene Eingabe mit separatem Nachweise belegen. </t>
  </si>
  <si>
    <t>Eigene Eingabe in hellgelbes Feld übersteuert automatische Berechnung (mit separatem Nachweis von Verbrauchszahlen vergangener vier Jahre zu belegen).</t>
  </si>
  <si>
    <t>SLU_0.3</t>
  </si>
  <si>
    <t>Verschiedene Anpassungen</t>
  </si>
  <si>
    <t>Kennzahlen</t>
  </si>
  <si>
    <t>Faktoren</t>
  </si>
  <si>
    <t>Holzpellets</t>
  </si>
  <si>
    <t>Erdgas</t>
  </si>
  <si>
    <t>Berechnet aus Stromverbrauchsmix SLU und KBOB</t>
  </si>
  <si>
    <t>Wärmepumpe Luft/Wasser Altbau aus KBOB</t>
  </si>
  <si>
    <t>Wärmepumpe Erdsonden Altbau aus KBOB</t>
  </si>
  <si>
    <t>KBOB</t>
  </si>
  <si>
    <t>Berechnung basierend auf KBOB (provisorisch)</t>
  </si>
  <si>
    <t>MWh/a</t>
  </si>
  <si>
    <t>Rp./kWh</t>
  </si>
  <si>
    <t>Voraussichtlicher Förderbeitrag (Weitere)</t>
  </si>
  <si>
    <t>Förderbeiträge</t>
  </si>
  <si>
    <t>6</t>
  </si>
  <si>
    <t>7</t>
  </si>
  <si>
    <t>7.1</t>
  </si>
  <si>
    <t>8</t>
  </si>
  <si>
    <t>8.1</t>
  </si>
  <si>
    <t>9</t>
  </si>
  <si>
    <t>9.1</t>
  </si>
  <si>
    <t>9.2</t>
  </si>
  <si>
    <t>9.3</t>
  </si>
  <si>
    <t>9.4</t>
  </si>
  <si>
    <t>10</t>
  </si>
  <si>
    <t>10.1</t>
  </si>
  <si>
    <t>10.2</t>
  </si>
  <si>
    <t>10.3</t>
  </si>
  <si>
    <t>6.1</t>
  </si>
  <si>
    <t>6.2</t>
  </si>
  <si>
    <t>6.3</t>
  </si>
  <si>
    <t>Förderbeitrag von Weiteren (bspw. Energie Zukunft Schweiz AG oder MyClimate). Diese Förderung ist meistens nicht mit der Förderung des Kantons kombinierbar. In diesem Fall bitte Förderung des Kantons im hellgelben Feld auf 0 setzen.</t>
  </si>
  <si>
    <t>Total Investitionskosten (inkl. Förderung)</t>
  </si>
  <si>
    <t>5</t>
  </si>
  <si>
    <t>5.1</t>
  </si>
  <si>
    <t>5.2</t>
  </si>
  <si>
    <t>5.3</t>
  </si>
  <si>
    <t>5.4</t>
  </si>
  <si>
    <t>Reduktion Kapitalkosten durch Förderbeiträge</t>
  </si>
  <si>
    <t>Total Installationskosten (3)</t>
  </si>
  <si>
    <t>Förderbeiträge (5)</t>
  </si>
  <si>
    <t>Erdwärmesonde, Elektrozuleitung (4)</t>
  </si>
  <si>
    <t>Total Raumkosten (6)</t>
  </si>
  <si>
    <t>Total Raumkosten auf 40 Jahre (5)</t>
  </si>
  <si>
    <t>Total Installationskosten auf 20 Jahre (3 minus 5)</t>
  </si>
  <si>
    <t>Gebäudekategorie wählen mit Pulldown-Menü. Bei Mischnutzung Hauptnutzung eintragen.</t>
  </si>
  <si>
    <t>Stromverbraucherprofil gemäss Stromabrechnung (wird automatisch anhand der Gebäudekategorie berechnet, kann aber überschrieben werden). Verbraucherprofile sind</t>
  </si>
  <si>
    <t>beschrieben (6.3)</t>
  </si>
  <si>
    <t>Erneuerbar: Zwingend geprüft werden müssen Wärmepumpe (WP) mit Erdwärmesonde, WP-Luft, Holz-Pellets, sowie der Anschluss an ein Wärmenetz, falls technisch möglich.</t>
  </si>
  <si>
    <t>Minimum</t>
  </si>
  <si>
    <t>Wärmeerzeuger, Warmwassererwärmer, Regelung, Brennstofflager, Oeltank, Abgasanlage, Umwälzpumpen, Gasleitung, Transport, Montage, Honorare etc. Eigene Eingabe mit separatem Nachweis belegen.</t>
  </si>
  <si>
    <t>3.2</t>
  </si>
  <si>
    <t>Gebäudetechnik und Bauliches exkl. 3.2 und 4</t>
  </si>
  <si>
    <t>Anschlussgebühren Wärmenetze</t>
  </si>
  <si>
    <t>3./4.</t>
  </si>
  <si>
    <t>3.1 Honorare 
(gerundet auf Tsd)</t>
  </si>
  <si>
    <t>3/4</t>
  </si>
  <si>
    <t>SLU_0.4</t>
  </si>
  <si>
    <t>Verschiedene Anpassungen nach Rückmeldung e4plus</t>
  </si>
  <si>
    <t>Referenzpreis Anfangs 2022</t>
  </si>
  <si>
    <t>Primärenergie nicht erneuerbar [kWh/kWh]</t>
  </si>
  <si>
    <t>Primärenergie erneuerbar [kWh/kWh]</t>
  </si>
  <si>
    <t>Primärenergie erneuerbar [MWh/a]</t>
  </si>
  <si>
    <t>Primärenergie nicht erneuerbar [MWh/a]</t>
  </si>
  <si>
    <t xml:space="preserve">Faktoren Primärenergieverbrauch und  Treibhausgasemissionen </t>
  </si>
  <si>
    <t>Ökobilanzen im Baubereich Stand März 2022</t>
  </si>
  <si>
    <t>Stromprodukte</t>
  </si>
  <si>
    <t>ewl Mixstrom</t>
  </si>
  <si>
    <t>ewl Naturstrom</t>
  </si>
  <si>
    <t>ewl Luzerner Wasserstrom</t>
  </si>
  <si>
    <t>ewl Luzerner Solarstrom</t>
  </si>
  <si>
    <t>CKW BudgetStrom</t>
  </si>
  <si>
    <t>CKW ClassicStrom</t>
  </si>
  <si>
    <t>CKW MeinRegioStrom</t>
  </si>
  <si>
    <t>Berechnung basierend auf KBOB</t>
  </si>
  <si>
    <t>Unbekannt (Gesamtmix Stadt Luzern)</t>
  </si>
  <si>
    <t>Energiebezugsfläche nach SIA 380. Vorsicht wenn mehrere Gebäude an derselben Heizung angeschlossen sind.</t>
  </si>
  <si>
    <t>Falls ein erneuerbares Heizsystem technisch nicht möglich ist, entsprechendes Feld leerlassen und Nachweis beilegen. WP-Luft (a) steht für eine Aussenalage und WP-Luft (i) für eine Innenanlage.</t>
  </si>
  <si>
    <t>Vergleich Heizsysteme</t>
  </si>
  <si>
    <t>Erneuerbare Systeme</t>
  </si>
  <si>
    <t>Fossile Systeme</t>
  </si>
  <si>
    <t>2.1 Nutzungsgrad / JAZ Minimal</t>
  </si>
  <si>
    <t>THG total (KBOB) [kg CO2-eq/kWh]</t>
  </si>
  <si>
    <t>THG direkt (CO2 Gesetz) [kg CO2-eq/kWh]</t>
  </si>
  <si>
    <r>
      <t>Holzschnitzel Preisindex Schnitzel</t>
    </r>
    <r>
      <rPr>
        <vertAlign val="superscript"/>
        <sz val="11"/>
        <color rgb="FF002060"/>
        <rFont val="Calibri"/>
        <family val="2"/>
        <scheme val="minor"/>
      </rPr>
      <t>14)</t>
    </r>
  </si>
  <si>
    <r>
      <t>Holzschnitzel [Rp./kWh exkl. MwSt.]</t>
    </r>
    <r>
      <rPr>
        <vertAlign val="superscript"/>
        <sz val="11"/>
        <color rgb="FF002060"/>
        <rFont val="Calibri"/>
        <family val="2"/>
        <scheme val="minor"/>
      </rPr>
      <t>15)</t>
    </r>
  </si>
  <si>
    <r>
      <t>CO</t>
    </r>
    <r>
      <rPr>
        <vertAlign val="subscript"/>
        <sz val="11"/>
        <rFont val="Calibri"/>
        <family val="2"/>
        <scheme val="minor"/>
      </rPr>
      <t>2</t>
    </r>
    <r>
      <rPr>
        <sz val="11"/>
        <rFont val="Calibri"/>
        <family val="2"/>
        <scheme val="minor"/>
      </rPr>
      <t>-Abgabe [Fr./l Heizöl]</t>
    </r>
    <r>
      <rPr>
        <vertAlign val="superscript"/>
        <sz val="11"/>
        <rFont val="Calibri"/>
        <family val="2"/>
        <scheme val="minor"/>
      </rPr>
      <t>1)</t>
    </r>
  </si>
  <si>
    <r>
      <t>CO</t>
    </r>
    <r>
      <rPr>
        <vertAlign val="subscript"/>
        <sz val="11"/>
        <rFont val="Calibri"/>
        <family val="2"/>
        <scheme val="minor"/>
      </rPr>
      <t>2</t>
    </r>
    <r>
      <rPr>
        <sz val="11"/>
        <rFont val="Calibri"/>
        <family val="2"/>
        <scheme val="minor"/>
      </rPr>
      <t>-Abgabe [Fr./kWh Erdgas]</t>
    </r>
    <r>
      <rPr>
        <vertAlign val="superscript"/>
        <sz val="11"/>
        <rFont val="Calibri"/>
        <family val="2"/>
        <scheme val="minor"/>
      </rPr>
      <t>1)</t>
    </r>
  </si>
  <si>
    <t>Der Energiegehalt von 1 l Heizöl ist (0.0429 TJ/t * 0.839 t/m3 / 1000 l/m3 =) 0.00359931 TJ, dies entspricht 999.8 kWh</t>
  </si>
  <si>
    <t>Gebäude Bauperiode</t>
  </si>
  <si>
    <t>GBAUP</t>
  </si>
  <si>
    <t>Vor 1919</t>
  </si>
  <si>
    <t>1919-1945</t>
  </si>
  <si>
    <t>1946-1960</t>
  </si>
  <si>
    <t>1961-1970</t>
  </si>
  <si>
    <t>1971-1980</t>
  </si>
  <si>
    <t>1981-1985</t>
  </si>
  <si>
    <t>1986-1990</t>
  </si>
  <si>
    <t>1991-1995</t>
  </si>
  <si>
    <t>1996-2000</t>
  </si>
  <si>
    <t>2001-2005</t>
  </si>
  <si>
    <t>2006-2010</t>
  </si>
  <si>
    <t>2011-2015</t>
  </si>
  <si>
    <t>Ab 2016</t>
  </si>
  <si>
    <t>Bauperiode</t>
  </si>
  <si>
    <r>
      <t>1.6 Warmwasserbedarf nach SIA380/1 [kWh/m</t>
    </r>
    <r>
      <rPr>
        <b/>
        <vertAlign val="superscript"/>
        <sz val="9"/>
        <color theme="1"/>
        <rFont val="Arial"/>
        <family val="2"/>
      </rPr>
      <t>2</t>
    </r>
    <r>
      <rPr>
        <b/>
        <sz val="9"/>
        <color theme="1"/>
        <rFont val="Arial"/>
        <family val="2"/>
      </rPr>
      <t>a]</t>
    </r>
  </si>
  <si>
    <t>1.3 Stromverbrauchsprofil</t>
  </si>
  <si>
    <t>Einfamilienhaus</t>
  </si>
  <si>
    <t>Mehrfamilienhaus und andere Nutzungsarten</t>
  </si>
  <si>
    <t>Heizenergiebedarf (Abschätzung aufgrund Gebäudebaujahr)</t>
  </si>
  <si>
    <t>SLU_0.5</t>
  </si>
  <si>
    <t>Erdwärmesonde, Elektro-/Gaszuleitung auf 40 Jahre (4)</t>
  </si>
  <si>
    <t>Nutzenergiebedarf (Abschätzung aufgrund Bauperiode oder gemäss eigenem Nachweis)</t>
  </si>
  <si>
    <t>SLU_0.6</t>
  </si>
  <si>
    <t>Update Kennzahlen</t>
  </si>
  <si>
    <r>
      <t>Gaspreis (20'000 kWh) [Fr./kWh exkl. MwSt. und exkl. CO</t>
    </r>
    <r>
      <rPr>
        <vertAlign val="subscript"/>
        <sz val="11"/>
        <color theme="8" tint="-0.249977111117893"/>
        <rFont val="Calibri"/>
        <family val="2"/>
        <scheme val="minor"/>
      </rPr>
      <t>2</t>
    </r>
    <r>
      <rPr>
        <sz val="11"/>
        <color theme="8" tint="-0.249977111117893"/>
        <rFont val="Calibri"/>
        <family val="2"/>
        <scheme val="minor"/>
      </rPr>
      <t>-Abgabe]</t>
    </r>
    <r>
      <rPr>
        <vertAlign val="superscript"/>
        <sz val="11"/>
        <color theme="8" tint="-0.249977111117893"/>
        <rFont val="Calibri"/>
        <family val="2"/>
        <scheme val="minor"/>
      </rPr>
      <t>13)</t>
    </r>
  </si>
  <si>
    <t>Biogas</t>
  </si>
  <si>
    <t>Zukauf Biogaszertifikate 20 Jahre [Rp/kWh]</t>
  </si>
  <si>
    <t>Preis Biogaszertifikate</t>
  </si>
  <si>
    <t>SLU_0.7</t>
  </si>
  <si>
    <t>Biogas hinzugefügt</t>
  </si>
  <si>
    <t>Korrektur Förderbeitrag EWS</t>
  </si>
  <si>
    <t>Der vorliegende Heizkostenrechner beschreibt den aktuellen Stand der Vollzugspraxis und wird bei Bedarf aktualisiert. Er trägt deshalb ein Versionsnummer.</t>
  </si>
  <si>
    <t>Auf der</t>
  </si>
  <si>
    <t>unter "Dokumente Baubewilligung" finden Sie die jeweils aktuellste Version.</t>
  </si>
  <si>
    <t>Luft-Wärmepumpe</t>
  </si>
  <si>
    <t>Erdsonden-WP</t>
  </si>
  <si>
    <t>Wasser-Wärmepumpe</t>
  </si>
  <si>
    <t>Wärmepumpe Aussenluft</t>
  </si>
  <si>
    <t>Wärmepumpe, Erdwärmesonde</t>
  </si>
  <si>
    <t xml:space="preserve">Wärmenutzungsgrad </t>
  </si>
  <si>
    <t>Wärmenutzungsgrad  kann in hellgelben Feldern übersteuert werden. Eigene Eingabe mit separatem Nachweis belegen. Ohne Eingabe wird mit Standard-Wert gerechnet. Falls die eigene Eingabe nicht im zulässigen Bereich ist, erscheint sie in rot.</t>
  </si>
  <si>
    <t>SLU_0.8</t>
  </si>
  <si>
    <t>Korrektur Wärmegestehungskosten</t>
  </si>
  <si>
    <t>SLU_1.0</t>
  </si>
  <si>
    <t>Update Referenzzinssatz</t>
  </si>
  <si>
    <t>Strompreise</t>
  </si>
  <si>
    <t>bis 2021 [kWh] ab 2022 [TJ]</t>
  </si>
  <si>
    <t>SLU_1.1</t>
  </si>
  <si>
    <t>Update Energiepreise, Förderbeiträge und Referenzzinssatz</t>
  </si>
  <si>
    <r>
      <t>Treibhausgasemissionen direkt [t CO</t>
    </r>
    <r>
      <rPr>
        <vertAlign val="subscript"/>
        <sz val="11"/>
        <color theme="1"/>
        <rFont val="Calibri"/>
        <family val="2"/>
        <scheme val="minor"/>
      </rPr>
      <t>2</t>
    </r>
    <r>
      <rPr>
        <sz val="11"/>
        <color theme="1"/>
        <rFont val="Calibri"/>
        <family val="2"/>
        <scheme val="minor"/>
      </rPr>
      <t>-eq/a]</t>
    </r>
  </si>
  <si>
    <r>
      <t>Treibhausgasemissionen indirekt [t CO</t>
    </r>
    <r>
      <rPr>
        <vertAlign val="subscript"/>
        <sz val="11"/>
        <color theme="1"/>
        <rFont val="Calibri"/>
        <family val="2"/>
        <scheme val="minor"/>
      </rPr>
      <t>2</t>
    </r>
    <r>
      <rPr>
        <sz val="11"/>
        <color theme="1"/>
        <rFont val="Calibri"/>
        <family val="2"/>
        <scheme val="minor"/>
      </rPr>
      <t>-eq/a]</t>
    </r>
  </si>
  <si>
    <t xml:space="preserve">                                  Lebenszykluskostenbestimmung Wärmeerzeugung zur Beurteilung </t>
  </si>
  <si>
    <t>01 Wohnen Mehrfamilienhaus</t>
  </si>
  <si>
    <t>02 Wohnen Einfamilienhaus</t>
  </si>
  <si>
    <t>Kosten Erfüllung §13 Abs. 1 KEnG</t>
  </si>
  <si>
    <t>SLU_1.2</t>
  </si>
  <si>
    <t>Korrektur Biogas gesamter Wärmebedarf</t>
  </si>
  <si>
    <t>Ab 2021</t>
  </si>
  <si>
    <t>Wärmeerzeugerleistung</t>
  </si>
  <si>
    <t>Wärmeerzeugerleistung (nach SIA 384/2 oder 384.201 wenn vorhanden). Siehe</t>
  </si>
  <si>
    <t>SIA 384/1</t>
  </si>
  <si>
    <t>Fernwärme, WP-Luft (a), WP-Luft (i), WP-Sonde, WP-Wasser</t>
  </si>
  <si>
    <t>Formel Brennstofflager</t>
  </si>
  <si>
    <t>= Nutzenergiebedarf / (10 * 1000 * 0.7)</t>
  </si>
  <si>
    <r>
      <t>Raumbedarf + Brennstofflager [m</t>
    </r>
    <r>
      <rPr>
        <vertAlign val="superscript"/>
        <sz val="9"/>
        <color theme="1"/>
        <rFont val="Arial"/>
        <family val="2"/>
      </rPr>
      <t>3</t>
    </r>
    <r>
      <rPr>
        <sz val="9"/>
        <color theme="1"/>
        <rFont val="Arial"/>
        <family val="2"/>
      </rPr>
      <t>]</t>
    </r>
  </si>
  <si>
    <t>Faktor für Umrechnung Raumbedarf Gasheizung zu Fernwärme</t>
  </si>
  <si>
    <t>Holz-Pellets Brennstofflager</t>
  </si>
  <si>
    <t>Holz-Schnitzel Brennstofflager</t>
  </si>
  <si>
    <t>SLU_1.3</t>
  </si>
  <si>
    <t>Anpassung Raumbedarf, Korrekturen Unterhaltskosten Investitionsbasiert und keine Rundung einzelne Positionen Investitionskosten</t>
  </si>
  <si>
    <t>Gebäude Baujahr</t>
  </si>
  <si>
    <t>GBAUJ</t>
  </si>
  <si>
    <t>2016-2020</t>
  </si>
  <si>
    <t>Ort, Datum</t>
  </si>
  <si>
    <t>über 70 kWth [Fr.]</t>
  </si>
  <si>
    <t>Ab 70 kW [Fr.]</t>
  </si>
  <si>
    <t>SLU_1.4</t>
  </si>
  <si>
    <t>Update Referenzzinssatz, Energiepreise, MWSt, Teuerungsindex, kantonale Förderbeiträge und hypothekarischer Referenzzinssatz, Faktoren THG und Energie Strom/Fernwärme</t>
  </si>
  <si>
    <t>Werte von 2024 übernommen. Muss angepasst werden wenn neue Werte verfügbar!</t>
  </si>
  <si>
    <t>https://www.bfs.admin.ch/bfs/de/home/statistiken/preise/landesindex-konsumentenpreise/detailresultate.assetdetail.36453505.html</t>
  </si>
  <si>
    <t>https://uwe.lu.ch/-/media/UWE/Dokumente/Themen/Energie/Foerderprogramm/Foerderbedingungen_Foerderbeitraege.pdf?rev=396129e20de74baf976671d98a672bca</t>
  </si>
  <si>
    <t>SLU_1.5</t>
  </si>
  <si>
    <t xml:space="preserve">                                  der wirtschaftlichen Verhältnismässigkeit gemäss Art. 79 Abs. 2 lit. c BZR 2026</t>
  </si>
  <si>
    <t>SLU_1.6</t>
  </si>
  <si>
    <t>Anpassung Titel nach 2. öffentlicher Auflage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</si>
</sst>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numFmt numFmtId="165" formatCode="0.000000000000%"/>
    <numFmt numFmtId="166" formatCode="0&quot; W/m²&quot;"/>
    <numFmt numFmtId="167" formatCode="0,"/>
    <numFmt numFmtId="168" formatCode="0.0000"/>
    <numFmt numFmtId="169" formatCode="0.000"/>
    <numFmt numFmtId="170" formatCode="0.000000000"/>
    <numFmt numFmtId="171" formatCode="_ * #,##0_ ;_ * \-#,##0_ "/>
  </numFmts>
  <fonts count="75">
    <font>
      <sz val="11"/>
      <color theme="1"/>
      <name val="Calibri"/>
      <family val="2"/>
      <scheme val="minor"/>
    </font>
    <font>
      <sz val="9"/>
      <name val="Arial"/>
      <family val="2"/>
    </font>
    <font>
      <sz val="10"/>
      <name val="Arial"/>
      <family val="2"/>
    </font>
    <font>
      <b/>
      <sz val="9"/>
      <name val="Arial"/>
      <family val="2"/>
    </font>
    <font>
      <sz val="9"/>
      <color theme="1"/>
      <name val="Arial"/>
      <family val="2"/>
    </font>
    <font>
      <sz val="11"/>
      <color rgb="FFFF0000"/>
      <name val="Calibri"/>
      <family val="2"/>
      <scheme val="minor"/>
    </font>
    <font>
      <sz val="9"/>
      <color rgb="FFFF0000"/>
      <name val="Arial"/>
      <family val="2"/>
    </font>
    <font>
      <u/>
      <sz val="11"/>
      <color theme="10"/>
      <name val="Calibri"/>
      <family val="2"/>
      <scheme val="minor"/>
    </font>
    <font>
      <vertAlign val="subscript"/>
      <sz val="9"/>
      <name val="Arial"/>
      <family val="2"/>
    </font>
    <font>
      <b/>
      <sz val="11"/>
      <color theme="1"/>
      <name val="Calibri"/>
      <family val="2"/>
      <scheme val="minor"/>
    </font>
    <font>
      <vertAlign val="subscript"/>
      <sz val="9"/>
      <color theme="1"/>
      <name val="Arial"/>
      <family val="2"/>
    </font>
    <font>
      <b/>
      <sz val="9"/>
      <color theme="1"/>
      <name val="Arial"/>
      <family val="2"/>
    </font>
    <font>
      <vertAlign val="superscript"/>
      <sz val="11"/>
      <color theme="1"/>
      <name val="Calibri"/>
      <family val="2"/>
      <scheme val="minor"/>
    </font>
    <font>
      <sz val="11"/>
      <name val="Calibri"/>
      <family val="2"/>
      <scheme val="minor"/>
    </font>
    <font>
      <b/>
      <vertAlign val="superscript"/>
      <sz val="9"/>
      <color theme="1"/>
      <name val="Arial"/>
      <family val="2"/>
    </font>
    <font>
      <b/>
      <sz val="11"/>
      <name val="Calibri"/>
      <family val="2"/>
      <scheme val="minor"/>
    </font>
    <font>
      <sz val="11"/>
      <color theme="1"/>
      <name val="Calibri"/>
      <family val="2"/>
      <scheme val="minor"/>
    </font>
    <font>
      <b/>
      <sz val="11"/>
      <color rgb="FF171717"/>
      <name val="Arial"/>
      <family val="2"/>
    </font>
    <font>
      <b/>
      <u/>
      <sz val="11"/>
      <color theme="10"/>
      <name val="Calibri"/>
      <family val="2"/>
      <scheme val="minor"/>
    </font>
    <font>
      <sz val="10"/>
      <name val="MS Sans Serif"/>
      <family val="2"/>
    </font>
    <font>
      <sz val="10"/>
      <name val="MS Sans Serif"/>
    </font>
    <font>
      <sz val="11"/>
      <color theme="9" tint="-0.249977111117893"/>
      <name val="Calibri"/>
      <family val="2"/>
      <scheme val="minor"/>
    </font>
    <font>
      <vertAlign val="superscript"/>
      <sz val="11"/>
      <color theme="9" tint="-0.249977111117893"/>
      <name val="Calibri"/>
      <family val="2"/>
      <scheme val="minor"/>
    </font>
    <font>
      <b/>
      <sz val="11"/>
      <color theme="9" tint="-0.249977111117893"/>
      <name val="Calibri"/>
      <family val="2"/>
      <scheme val="minor"/>
    </font>
    <font>
      <sz val="11"/>
      <color theme="8" tint="-0.249977111117893"/>
      <name val="Calibri"/>
      <family val="2"/>
      <scheme val="minor"/>
    </font>
    <font>
      <vertAlign val="subscript"/>
      <sz val="11"/>
      <color theme="8" tint="-0.249977111117893"/>
      <name val="Calibri"/>
      <family val="2"/>
      <scheme val="minor"/>
    </font>
    <font>
      <vertAlign val="superscript"/>
      <sz val="11"/>
      <color theme="8" tint="-0.249977111117893"/>
      <name val="Calibri"/>
      <family val="2"/>
      <scheme val="minor"/>
    </font>
    <font>
      <sz val="11"/>
      <color theme="7" tint="-0.249977111117893"/>
      <name val="Calibri"/>
      <family val="2"/>
      <scheme val="minor"/>
    </font>
    <font>
      <vertAlign val="subscript"/>
      <sz val="11"/>
      <color theme="7" tint="-0.249977111117893"/>
      <name val="Calibri"/>
      <family val="2"/>
      <scheme val="minor"/>
    </font>
    <font>
      <vertAlign val="superscript"/>
      <sz val="11"/>
      <color theme="7" tint="-0.249977111117893"/>
      <name val="Calibri"/>
      <family val="2"/>
      <scheme val="minor"/>
    </font>
    <font>
      <sz val="10"/>
      <name val="Arial"/>
      <family val="2"/>
    </font>
    <font>
      <sz val="11"/>
      <color rgb="FF7030A0"/>
      <name val="Calibri"/>
      <family val="2"/>
      <scheme val="minor"/>
    </font>
    <font>
      <vertAlign val="superscript"/>
      <sz val="11"/>
      <color rgb="FF7030A0"/>
      <name val="Calibri"/>
      <family val="2"/>
      <scheme val="minor"/>
    </font>
    <font>
      <b/>
      <sz val="9"/>
      <color theme="0" tint="-0.249977111117893"/>
      <name val="Arial"/>
      <family val="2"/>
    </font>
    <font>
      <sz val="9"/>
      <color theme="0" tint="-0.249977111117893"/>
      <name val="Arial"/>
      <family val="2"/>
    </font>
    <font>
      <sz val="11"/>
      <color rgb="FFCC3399"/>
      <name val="Calibri"/>
      <family val="2"/>
      <scheme val="minor"/>
    </font>
    <font>
      <vertAlign val="superscript"/>
      <sz val="11"/>
      <color rgb="FFCC3399"/>
      <name val="Calibri"/>
      <family val="2"/>
      <scheme val="minor"/>
    </font>
    <font>
      <vertAlign val="subscript"/>
      <sz val="11"/>
      <color rgb="FFCC3399"/>
      <name val="Calibri"/>
      <family val="2"/>
      <scheme val="minor"/>
    </font>
    <font>
      <b/>
      <vertAlign val="superscript"/>
      <sz val="9"/>
      <name val="Arial"/>
      <family val="2"/>
    </font>
    <font>
      <vertAlign val="subscript"/>
      <sz val="11"/>
      <name val="Calibri"/>
      <family val="2"/>
      <scheme val="minor"/>
    </font>
    <font>
      <vertAlign val="superscript"/>
      <sz val="11"/>
      <name val="Calibri"/>
      <family val="2"/>
      <scheme val="minor"/>
    </font>
    <font>
      <b/>
      <sz val="11"/>
      <color rgb="FF7030A0"/>
      <name val="Calibri"/>
      <family val="2"/>
      <scheme val="minor"/>
    </font>
    <font>
      <b/>
      <sz val="11"/>
      <color theme="7" tint="-0.249977111117893"/>
      <name val="Calibri"/>
      <family val="2"/>
      <scheme val="minor"/>
    </font>
    <font>
      <b/>
      <sz val="11"/>
      <color theme="8" tint="-0.249977111117893"/>
      <name val="Calibri"/>
      <family val="2"/>
      <scheme val="minor"/>
    </font>
    <font>
      <sz val="11"/>
      <color rgb="FF002060"/>
      <name val="Calibri"/>
      <family val="2"/>
      <scheme val="minor"/>
    </font>
    <font>
      <b/>
      <sz val="11"/>
      <color rgb="FF002060"/>
      <name val="Calibri"/>
      <family val="2"/>
      <scheme val="minor"/>
    </font>
    <font>
      <b/>
      <sz val="11"/>
      <color rgb="FFCC3399"/>
      <name val="Calibri"/>
      <family val="2"/>
      <scheme val="minor"/>
    </font>
    <font>
      <vertAlign val="superscript"/>
      <sz val="11"/>
      <color rgb="FF002060"/>
      <name val="Calibri"/>
      <family val="2"/>
      <scheme val="minor"/>
    </font>
    <font>
      <b/>
      <sz val="14"/>
      <color theme="1"/>
      <name val="Calibri"/>
      <family val="2"/>
      <scheme val="minor"/>
    </font>
    <font>
      <b/>
      <sz val="11"/>
      <color rgb="FF0070C0"/>
      <name val="Calibri"/>
      <family val="2"/>
      <scheme val="minor"/>
    </font>
    <font>
      <sz val="9"/>
      <color rgb="FF0070C0"/>
      <name val="Arial"/>
      <family val="2"/>
    </font>
    <font>
      <sz val="11"/>
      <name val="Arial"/>
      <family val="2"/>
    </font>
    <font>
      <sz val="10"/>
      <color rgb="FF006100"/>
      <name val="Arial"/>
      <family val="2"/>
    </font>
    <font>
      <sz val="10"/>
      <color rgb="FF9C0006"/>
      <name val="Arial"/>
      <family val="2"/>
    </font>
    <font>
      <b/>
      <sz val="20"/>
      <color theme="1"/>
      <name val="Calibri"/>
      <family val="2"/>
      <scheme val="minor"/>
    </font>
    <font>
      <b/>
      <sz val="10"/>
      <name val="Arial"/>
      <family val="2"/>
    </font>
    <font>
      <b/>
      <sz val="11"/>
      <name val="Arial"/>
      <family val="2"/>
    </font>
    <font>
      <u/>
      <sz val="9"/>
      <color theme="10"/>
      <name val="Arial"/>
      <family val="2"/>
    </font>
    <font>
      <u/>
      <sz val="9"/>
      <color theme="10"/>
      <name val="Calibri"/>
      <family val="2"/>
      <scheme val="minor"/>
    </font>
    <font>
      <u/>
      <sz val="9"/>
      <name val="Calibri"/>
      <family val="2"/>
      <scheme val="minor"/>
    </font>
    <font>
      <vertAlign val="superscript"/>
      <sz val="9"/>
      <color theme="1"/>
      <name val="Arial"/>
      <family val="2"/>
    </font>
    <font>
      <b/>
      <sz val="16"/>
      <color theme="1"/>
      <name val="Calibri"/>
      <family val="2"/>
      <scheme val="minor"/>
    </font>
    <font>
      <sz val="11"/>
      <color theme="0"/>
      <name val="Calibri"/>
      <family val="2"/>
      <scheme val="minor"/>
    </font>
    <font>
      <sz val="9"/>
      <color indexed="81"/>
      <name val="Segoe UI"/>
      <family val="2"/>
    </font>
    <font>
      <b/>
      <sz val="9"/>
      <color indexed="81"/>
      <name val="Segoe UI"/>
      <family val="2"/>
    </font>
    <font>
      <b/>
      <sz val="9"/>
      <color rgb="FFFF0000"/>
      <name val="Arial"/>
      <family val="2"/>
    </font>
    <font>
      <sz val="11"/>
      <color rgb="FF00B0F0"/>
      <name val="Calibri"/>
      <family val="2"/>
      <scheme val="minor"/>
    </font>
    <font>
      <b/>
      <sz val="11"/>
      <color rgb="FFFF0000"/>
      <name val="Calibri"/>
      <family val="2"/>
      <scheme val="minor"/>
    </font>
    <font>
      <sz val="9"/>
      <name val="Arial"/>
      <family val="2"/>
    </font>
    <font>
      <sz val="11"/>
      <color theme="1"/>
      <name val="Arial"/>
      <family val="2"/>
    </font>
    <font>
      <sz val="12"/>
      <name val="Times New Roman"/>
      <family val="1"/>
    </font>
    <font>
      <sz val="10"/>
      <name val="Arial"/>
      <family val="2"/>
    </font>
    <font>
      <sz val="11"/>
      <color theme="1"/>
      <name val="Segoe UI"/>
      <family val="2"/>
    </font>
    <font>
      <sz val="10"/>
      <name val="Arial"/>
    </font>
    <font>
      <vertAlign val="subscript"/>
      <sz val="11"/>
      <color theme="1"/>
      <name val="Calibri"/>
      <family val="2"/>
      <scheme val="minor"/>
    </font>
  </fonts>
  <fills count="20">
    <fill>
      <patternFill patternType="none"/>
    </fill>
    <fill>
      <patternFill patternType="gray125"/>
    </fill>
    <fill>
      <patternFill patternType="solid">
        <fgColor indexed="1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6FAD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FFF"/>
        <bgColor indexed="64"/>
      </patternFill>
    </fill>
    <fill>
      <patternFill patternType="solid">
        <fgColor rgb="FFFFC000"/>
        <bgColor indexed="64"/>
      </patternFill>
    </fill>
    <fill>
      <patternFill patternType="solid">
        <fgColor theme="0" tint="-0.14999847407452621"/>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thin">
        <color indexed="64"/>
      </left>
      <right style="hair">
        <color indexed="64"/>
      </right>
      <top style="hair">
        <color indexed="64"/>
      </top>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top/>
      <bottom style="thin">
        <color indexed="64"/>
      </bottom>
      <diagonal/>
    </border>
    <border>
      <left/>
      <right/>
      <top/>
      <bottom style="double">
        <color indexed="64"/>
      </bottom>
      <diagonal/>
    </border>
    <border>
      <left style="hair">
        <color indexed="64"/>
      </left>
      <right/>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bottom style="hair">
        <color indexed="64"/>
      </bottom>
      <diagonal/>
    </border>
    <border>
      <left style="thin">
        <color indexed="64"/>
      </left>
      <right/>
      <top style="thin">
        <color indexed="64"/>
      </top>
      <bottom/>
      <diagonal/>
    </border>
    <border>
      <left/>
      <right style="hair">
        <color indexed="64"/>
      </right>
      <top/>
      <bottom style="hair">
        <color indexed="64"/>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s>
  <cellStyleXfs count="22">
    <xf numFmtId="0" fontId="0" fillId="0" borderId="0"/>
    <xf numFmtId="0" fontId="7" fillId="0" borderId="0" applyNumberFormat="0" applyFill="0" applyBorder="0" applyAlignment="0" applyProtection="0"/>
    <xf numFmtId="0" fontId="2" fillId="0" borderId="0"/>
    <xf numFmtId="0" fontId="2" fillId="0" borderId="0"/>
    <xf numFmtId="9" fontId="16" fillId="0" borderId="0" applyFont="0" applyFill="0" applyBorder="0" applyAlignment="0" applyProtection="0"/>
    <xf numFmtId="0" fontId="20" fillId="0" borderId="0" applyBorder="0"/>
    <xf numFmtId="0" fontId="20" fillId="0" borderId="0"/>
    <xf numFmtId="0" fontId="19" fillId="0" borderId="0"/>
    <xf numFmtId="0" fontId="30" fillId="0" borderId="0"/>
    <xf numFmtId="43" fontId="16" fillId="0" borderId="0" applyFont="0" applyFill="0" applyBorder="0" applyAlignment="0" applyProtection="0"/>
    <xf numFmtId="0" fontId="52" fillId="15" borderId="0" applyNumberFormat="0" applyBorder="0" applyAlignment="0" applyProtection="0"/>
    <xf numFmtId="0" fontId="53" fillId="16" borderId="0" applyNumberFormat="0" applyBorder="0" applyAlignment="0" applyProtection="0"/>
    <xf numFmtId="0" fontId="69" fillId="0" borderId="0"/>
    <xf numFmtId="0" fontId="70" fillId="0" borderId="0"/>
    <xf numFmtId="0" fontId="71" fillId="0" borderId="0"/>
    <xf numFmtId="0" fontId="72" fillId="0" borderId="0"/>
    <xf numFmtId="0" fontId="73" fillId="0" borderId="0"/>
    <xf numFmtId="0" fontId="2" fillId="0" borderId="0"/>
    <xf numFmtId="43" fontId="16" fillId="0" borderId="0" applyFont="0" applyFill="0" applyBorder="0" applyAlignment="0" applyProtection="0"/>
    <xf numFmtId="0" fontId="2" fillId="0" borderId="0"/>
    <xf numFmtId="43" fontId="16" fillId="0" borderId="0" applyFont="0" applyFill="0" applyBorder="0" applyAlignment="0" applyProtection="0"/>
    <xf numFmtId="9" fontId="72" fillId="0" borderId="0" applyFont="0" applyFill="0" applyBorder="0" applyAlignment="0" applyProtection="0"/>
  </cellStyleXfs>
  <cellXfs count="548">
    <xf numFmtId="0" fontId="0" fillId="0" borderId="0" xfId="0"/>
    <xf numFmtId="0" fontId="1" fillId="0" borderId="0" xfId="0" applyFont="1"/>
    <xf numFmtId="0" fontId="3" fillId="0" borderId="0" xfId="0" applyFont="1"/>
    <xf numFmtId="0" fontId="4" fillId="0" borderId="0" xfId="0" applyFont="1"/>
    <xf numFmtId="10" fontId="4" fillId="0" borderId="0" xfId="0" applyNumberFormat="1" applyFont="1"/>
    <xf numFmtId="2" fontId="4" fillId="0" borderId="0" xfId="0" applyNumberFormat="1" applyFont="1"/>
    <xf numFmtId="0" fontId="6" fillId="0" borderId="0" xfId="0" applyFont="1"/>
    <xf numFmtId="2" fontId="6" fillId="0" borderId="0" xfId="0" applyNumberFormat="1" applyFont="1"/>
    <xf numFmtId="0" fontId="4" fillId="0" borderId="23" xfId="0" applyFont="1" applyBorder="1"/>
    <xf numFmtId="2" fontId="4" fillId="0" borderId="23" xfId="0" applyNumberFormat="1" applyFont="1" applyBorder="1"/>
    <xf numFmtId="0" fontId="4" fillId="0" borderId="22" xfId="0" applyFont="1" applyBorder="1"/>
    <xf numFmtId="2" fontId="4" fillId="0" borderId="22" xfId="0" applyNumberFormat="1" applyFont="1" applyBorder="1"/>
    <xf numFmtId="0" fontId="4" fillId="0" borderId="0" xfId="0" applyFont="1" applyAlignment="1">
      <alignment vertical="center" wrapText="1"/>
    </xf>
    <xf numFmtId="164" fontId="4" fillId="0" borderId="0" xfId="0" applyNumberFormat="1" applyFont="1"/>
    <xf numFmtId="0" fontId="11" fillId="0" borderId="0" xfId="0" applyFont="1" applyAlignment="1">
      <alignment vertical="center" wrapText="1"/>
    </xf>
    <xf numFmtId="0" fontId="9" fillId="0" borderId="0" xfId="0" applyFont="1" applyAlignment="1">
      <alignment vertical="center" wrapText="1"/>
    </xf>
    <xf numFmtId="0" fontId="0" fillId="0" borderId="0" xfId="0"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0" fillId="0" borderId="22" xfId="0" applyBorder="1" applyAlignment="1">
      <alignment vertical="center" wrapText="1"/>
    </xf>
    <xf numFmtId="0" fontId="0" fillId="0" borderId="21" xfId="0" applyBorder="1" applyAlignment="1">
      <alignment vertical="center" wrapText="1"/>
    </xf>
    <xf numFmtId="0" fontId="0" fillId="0" borderId="0" xfId="0" applyAlignment="1">
      <alignment vertical="center"/>
    </xf>
    <xf numFmtId="164" fontId="11" fillId="0" borderId="0" xfId="0" applyNumberFormat="1" applyFont="1" applyAlignment="1">
      <alignment vertical="center" wrapText="1"/>
    </xf>
    <xf numFmtId="164" fontId="11" fillId="0" borderId="0" xfId="0" applyNumberFormat="1" applyFont="1"/>
    <xf numFmtId="0" fontId="11" fillId="0" borderId="0" xfId="0" applyFont="1"/>
    <xf numFmtId="164" fontId="11" fillId="0" borderId="0" xfId="0" applyNumberFormat="1" applyFont="1" applyAlignment="1">
      <alignment wrapText="1"/>
    </xf>
    <xf numFmtId="0" fontId="11" fillId="0" borderId="0" xfId="0" applyFont="1" applyAlignment="1">
      <alignment wrapText="1"/>
    </xf>
    <xf numFmtId="0" fontId="3" fillId="0" borderId="0" xfId="0" applyFont="1" applyAlignment="1">
      <alignment wrapText="1"/>
    </xf>
    <xf numFmtId="3" fontId="11" fillId="0" borderId="0" xfId="0" applyNumberFormat="1" applyFont="1"/>
    <xf numFmtId="2" fontId="1" fillId="0" borderId="0" xfId="0" applyNumberFormat="1" applyFont="1"/>
    <xf numFmtId="2" fontId="1" fillId="0" borderId="16" xfId="0" applyNumberFormat="1" applyFont="1" applyBorder="1" applyAlignment="1">
      <alignment horizontal="center" vertical="center"/>
    </xf>
    <xf numFmtId="3" fontId="1" fillId="0" borderId="16" xfId="0" applyNumberFormat="1" applyFont="1" applyBorder="1" applyAlignment="1">
      <alignment horizontal="center" vertical="center"/>
    </xf>
    <xf numFmtId="0" fontId="15" fillId="0" borderId="0" xfId="0" applyFont="1"/>
    <xf numFmtId="0" fontId="0" fillId="9" borderId="0" xfId="0" applyFill="1"/>
    <xf numFmtId="0" fontId="3" fillId="0" borderId="0" xfId="0" applyFont="1" applyAlignment="1">
      <alignment vertical="center" wrapText="1"/>
    </xf>
    <xf numFmtId="10" fontId="4" fillId="0" borderId="0" xfId="4" applyNumberFormat="1" applyFont="1"/>
    <xf numFmtId="1" fontId="1" fillId="0" borderId="16" xfId="0" applyNumberFormat="1" applyFont="1" applyBorder="1" applyAlignment="1">
      <alignment horizontal="center" vertical="center"/>
    </xf>
    <xf numFmtId="0" fontId="9" fillId="0" borderId="0" xfId="0" applyFont="1"/>
    <xf numFmtId="0" fontId="9" fillId="0" borderId="0" xfId="0" applyFont="1" applyAlignment="1">
      <alignment vertical="center"/>
    </xf>
    <xf numFmtId="2" fontId="21" fillId="0" borderId="0" xfId="0" applyNumberFormat="1" applyFont="1" applyAlignment="1">
      <alignment vertical="center"/>
    </xf>
    <xf numFmtId="2" fontId="24" fillId="0" borderId="0" xfId="4" applyNumberFormat="1" applyFont="1" applyFill="1" applyBorder="1" applyAlignment="1">
      <alignment vertical="center"/>
    </xf>
    <xf numFmtId="0" fontId="13" fillId="0" borderId="0" xfId="0" applyFont="1"/>
    <xf numFmtId="2" fontId="31" fillId="0" borderId="0" xfId="4" applyNumberFormat="1" applyFont="1" applyFill="1" applyBorder="1" applyAlignment="1">
      <alignment vertical="center"/>
    </xf>
    <xf numFmtId="0" fontId="21" fillId="0" borderId="0" xfId="0" applyFont="1" applyAlignment="1">
      <alignment vertical="center"/>
    </xf>
    <xf numFmtId="2" fontId="27" fillId="0" borderId="0" xfId="0" applyNumberFormat="1" applyFont="1" applyAlignment="1">
      <alignment vertical="center"/>
    </xf>
    <xf numFmtId="168" fontId="27" fillId="0" borderId="0" xfId="0" applyNumberFormat="1" applyFont="1" applyAlignment="1">
      <alignment vertical="center"/>
    </xf>
    <xf numFmtId="2" fontId="31" fillId="0" borderId="0" xfId="0" applyNumberFormat="1" applyFont="1" applyAlignment="1">
      <alignment vertical="center"/>
    </xf>
    <xf numFmtId="164" fontId="33" fillId="0" borderId="0" xfId="0" applyNumberFormat="1" applyFont="1"/>
    <xf numFmtId="0" fontId="33" fillId="0" borderId="0" xfId="0" applyFont="1"/>
    <xf numFmtId="0" fontId="34" fillId="0" borderId="0" xfId="0" applyFont="1"/>
    <xf numFmtId="164" fontId="34" fillId="0" borderId="0" xfId="0" applyNumberFormat="1" applyFont="1"/>
    <xf numFmtId="0" fontId="13" fillId="0" borderId="0" xfId="0" applyFont="1" applyAlignment="1">
      <alignment vertical="center"/>
    </xf>
    <xf numFmtId="0" fontId="5" fillId="0" borderId="0" xfId="0" applyFont="1"/>
    <xf numFmtId="168" fontId="31" fillId="0" borderId="0" xfId="0" applyNumberFormat="1" applyFont="1" applyAlignment="1">
      <alignment vertical="center"/>
    </xf>
    <xf numFmtId="2" fontId="35" fillId="0" borderId="0" xfId="0" applyNumberFormat="1" applyFont="1" applyAlignment="1">
      <alignment vertical="center"/>
    </xf>
    <xf numFmtId="164" fontId="1" fillId="0" borderId="0" xfId="0" applyNumberFormat="1" applyFont="1"/>
    <xf numFmtId="164" fontId="3" fillId="0" borderId="0" xfId="0" applyNumberFormat="1" applyFont="1"/>
    <xf numFmtId="0" fontId="1" fillId="0" borderId="0" xfId="0" quotePrefix="1" applyFont="1"/>
    <xf numFmtId="0" fontId="15" fillId="0" borderId="0" xfId="0" applyFont="1" applyAlignment="1">
      <alignment vertical="center"/>
    </xf>
    <xf numFmtId="10" fontId="15" fillId="0" borderId="41" xfId="0" applyNumberFormat="1" applyFont="1" applyBorder="1"/>
    <xf numFmtId="0" fontId="15" fillId="0" borderId="41" xfId="0" applyFont="1" applyBorder="1" applyAlignment="1">
      <alignment vertical="center"/>
    </xf>
    <xf numFmtId="14" fontId="13" fillId="0" borderId="41" xfId="0" applyNumberFormat="1" applyFont="1" applyBorder="1" applyAlignment="1">
      <alignment vertical="center"/>
    </xf>
    <xf numFmtId="10" fontId="13" fillId="0" borderId="41" xfId="4" applyNumberFormat="1" applyFont="1" applyBorder="1"/>
    <xf numFmtId="14" fontId="13" fillId="0" borderId="41" xfId="0" applyNumberFormat="1" applyFont="1" applyBorder="1"/>
    <xf numFmtId="10" fontId="13" fillId="0" borderId="41" xfId="0" applyNumberFormat="1" applyFont="1" applyBorder="1"/>
    <xf numFmtId="0" fontId="21" fillId="0" borderId="0" xfId="0" applyFont="1"/>
    <xf numFmtId="10" fontId="21" fillId="0" borderId="0" xfId="4" applyNumberFormat="1" applyFont="1"/>
    <xf numFmtId="3" fontId="0" fillId="0" borderId="0" xfId="9" applyNumberFormat="1" applyFont="1"/>
    <xf numFmtId="3" fontId="0" fillId="0" borderId="0" xfId="9" applyNumberFormat="1" applyFont="1" applyBorder="1"/>
    <xf numFmtId="3" fontId="0" fillId="0" borderId="22" xfId="9" applyNumberFormat="1" applyFont="1" applyBorder="1"/>
    <xf numFmtId="3" fontId="5" fillId="0" borderId="0" xfId="0" applyNumberFormat="1" applyFont="1"/>
    <xf numFmtId="3" fontId="5" fillId="0" borderId="22" xfId="0" applyNumberFormat="1" applyFont="1" applyBorder="1"/>
    <xf numFmtId="0" fontId="0" fillId="7" borderId="0" xfId="0" applyFill="1"/>
    <xf numFmtId="0" fontId="21" fillId="0" borderId="0" xfId="0" applyFont="1" applyAlignment="1">
      <alignment vertical="center" wrapText="1"/>
    </xf>
    <xf numFmtId="0" fontId="24" fillId="0" borderId="0" xfId="0" applyFont="1" applyAlignment="1">
      <alignment vertical="center" wrapText="1"/>
    </xf>
    <xf numFmtId="0" fontId="24" fillId="0" borderId="0" xfId="0" applyFont="1" applyAlignment="1">
      <alignment vertical="center"/>
    </xf>
    <xf numFmtId="168" fontId="24" fillId="0" borderId="0" xfId="2" applyNumberFormat="1" applyFont="1" applyAlignment="1">
      <alignment vertical="center"/>
    </xf>
    <xf numFmtId="168" fontId="24" fillId="0" borderId="0" xfId="7" applyNumberFormat="1" applyFont="1" applyAlignment="1">
      <alignment vertical="center"/>
    </xf>
    <xf numFmtId="2" fontId="27" fillId="0" borderId="0" xfId="0" applyNumberFormat="1" applyFont="1" applyAlignment="1">
      <alignment vertical="center" wrapText="1"/>
    </xf>
    <xf numFmtId="2" fontId="31" fillId="0" borderId="0" xfId="0" applyNumberFormat="1" applyFont="1" applyAlignment="1">
      <alignment vertical="center" wrapText="1"/>
    </xf>
    <xf numFmtId="168" fontId="35" fillId="0" borderId="0" xfId="0" applyNumberFormat="1" applyFont="1" applyAlignment="1">
      <alignment vertical="center" wrapText="1"/>
    </xf>
    <xf numFmtId="0" fontId="17" fillId="0" borderId="0" xfId="0" applyFont="1" applyAlignment="1">
      <alignment vertical="center" wrapText="1"/>
    </xf>
    <xf numFmtId="0" fontId="18" fillId="0" borderId="0" xfId="1" applyFont="1" applyFill="1" applyBorder="1" applyAlignment="1">
      <alignment vertical="center" wrapText="1"/>
    </xf>
    <xf numFmtId="0" fontId="13" fillId="0" borderId="0" xfId="0" applyFont="1" applyAlignment="1">
      <alignment vertical="center" wrapText="1"/>
    </xf>
    <xf numFmtId="2" fontId="13" fillId="0" borderId="0" xfId="4" applyNumberFormat="1" applyFont="1" applyFill="1" applyBorder="1" applyAlignment="1">
      <alignment vertical="center"/>
    </xf>
    <xf numFmtId="1" fontId="13" fillId="0" borderId="0" xfId="0" applyNumberFormat="1" applyFont="1" applyAlignment="1">
      <alignment vertical="center"/>
    </xf>
    <xf numFmtId="1" fontId="13" fillId="0" borderId="0" xfId="0" applyNumberFormat="1" applyFont="1" applyAlignment="1">
      <alignment vertical="center" wrapText="1"/>
    </xf>
    <xf numFmtId="1" fontId="13" fillId="0" borderId="0" xfId="4" applyNumberFormat="1" applyFont="1" applyFill="1" applyBorder="1" applyAlignment="1">
      <alignment vertical="center"/>
    </xf>
    <xf numFmtId="169" fontId="13" fillId="0" borderId="0" xfId="4" applyNumberFormat="1" applyFont="1" applyFill="1" applyBorder="1" applyAlignment="1">
      <alignment vertical="center"/>
    </xf>
    <xf numFmtId="0" fontId="9" fillId="0" borderId="42" xfId="0" applyFont="1" applyBorder="1" applyAlignment="1">
      <alignment vertical="center"/>
    </xf>
    <xf numFmtId="0" fontId="0" fillId="0" borderId="42" xfId="0" applyBorder="1"/>
    <xf numFmtId="0" fontId="21" fillId="0" borderId="42" xfId="0" applyFont="1" applyBorder="1" applyAlignment="1">
      <alignment vertical="center"/>
    </xf>
    <xf numFmtId="0" fontId="21" fillId="0" borderId="42" xfId="0" applyFont="1" applyBorder="1" applyAlignment="1">
      <alignment vertical="center" wrapText="1"/>
    </xf>
    <xf numFmtId="2" fontId="21" fillId="0" borderId="42" xfId="0" applyNumberFormat="1" applyFont="1" applyBorder="1" applyAlignment="1">
      <alignment vertical="center"/>
    </xf>
    <xf numFmtId="0" fontId="0" fillId="0" borderId="42" xfId="0" applyBorder="1" applyAlignment="1">
      <alignment vertical="center"/>
    </xf>
    <xf numFmtId="0" fontId="15" fillId="12" borderId="0" xfId="0" applyFont="1" applyFill="1" applyAlignment="1">
      <alignment vertical="center"/>
    </xf>
    <xf numFmtId="0" fontId="0" fillId="0" borderId="42" xfId="0" applyBorder="1" applyAlignment="1">
      <alignment vertical="center" wrapText="1"/>
    </xf>
    <xf numFmtId="2" fontId="31" fillId="0" borderId="42" xfId="0" applyNumberFormat="1" applyFont="1" applyBorder="1" applyAlignment="1">
      <alignment vertical="center"/>
    </xf>
    <xf numFmtId="2" fontId="31" fillId="0" borderId="42" xfId="0" applyNumberFormat="1" applyFont="1" applyBorder="1" applyAlignment="1">
      <alignment vertical="center" wrapText="1"/>
    </xf>
    <xf numFmtId="2" fontId="31" fillId="0" borderId="42" xfId="4" applyNumberFormat="1" applyFont="1" applyFill="1" applyBorder="1" applyAlignment="1">
      <alignment vertical="center"/>
    </xf>
    <xf numFmtId="168" fontId="31" fillId="0" borderId="42" xfId="0" applyNumberFormat="1" applyFont="1" applyBorder="1" applyAlignment="1">
      <alignment vertical="center"/>
    </xf>
    <xf numFmtId="170" fontId="31" fillId="0" borderId="0" xfId="0" applyNumberFormat="1" applyFont="1" applyAlignment="1">
      <alignment vertical="center"/>
    </xf>
    <xf numFmtId="2" fontId="41" fillId="11" borderId="42" xfId="0" applyNumberFormat="1" applyFont="1" applyFill="1" applyBorder="1" applyAlignment="1">
      <alignment vertical="center" wrapText="1"/>
    </xf>
    <xf numFmtId="170" fontId="31" fillId="0" borderId="42" xfId="0" applyNumberFormat="1" applyFont="1" applyBorder="1" applyAlignment="1">
      <alignment vertical="center"/>
    </xf>
    <xf numFmtId="2" fontId="13" fillId="0" borderId="0" xfId="0" applyNumberFormat="1" applyFont="1" applyAlignment="1">
      <alignment vertical="center"/>
    </xf>
    <xf numFmtId="0" fontId="42" fillId="0" borderId="0" xfId="0" applyFont="1" applyAlignment="1">
      <alignment vertical="center"/>
    </xf>
    <xf numFmtId="2" fontId="27" fillId="0" borderId="42" xfId="0" applyNumberFormat="1" applyFont="1" applyBorder="1" applyAlignment="1">
      <alignment vertical="center"/>
    </xf>
    <xf numFmtId="2" fontId="27" fillId="0" borderId="42" xfId="0" applyNumberFormat="1" applyFont="1" applyBorder="1" applyAlignment="1">
      <alignment vertical="center" wrapText="1"/>
    </xf>
    <xf numFmtId="0" fontId="42" fillId="0" borderId="42" xfId="0" applyFont="1" applyBorder="1" applyAlignment="1">
      <alignment vertical="center"/>
    </xf>
    <xf numFmtId="168" fontId="27" fillId="0" borderId="42" xfId="4" applyNumberFormat="1" applyFont="1" applyFill="1" applyBorder="1" applyAlignment="1">
      <alignment vertical="center"/>
    </xf>
    <xf numFmtId="2" fontId="13" fillId="0" borderId="0" xfId="0" applyNumberFormat="1" applyFont="1" applyAlignment="1">
      <alignment vertical="center" wrapText="1"/>
    </xf>
    <xf numFmtId="10" fontId="13" fillId="0" borderId="0" xfId="4" applyNumberFormat="1" applyFont="1" applyFill="1" applyBorder="1" applyAlignment="1">
      <alignment vertical="center"/>
    </xf>
    <xf numFmtId="10" fontId="13" fillId="0" borderId="0" xfId="4" applyNumberFormat="1" applyFont="1" applyBorder="1" applyAlignment="1">
      <alignment vertical="center"/>
    </xf>
    <xf numFmtId="10" fontId="13" fillId="0" borderId="0" xfId="0" applyNumberFormat="1" applyFont="1" applyAlignment="1">
      <alignment vertical="center"/>
    </xf>
    <xf numFmtId="2" fontId="15" fillId="0" borderId="0" xfId="0" applyNumberFormat="1" applyFont="1" applyAlignment="1">
      <alignment vertical="center"/>
    </xf>
    <xf numFmtId="10" fontId="15" fillId="12" borderId="0" xfId="4" applyNumberFormat="1" applyFont="1" applyFill="1" applyBorder="1" applyAlignment="1">
      <alignment vertical="center"/>
    </xf>
    <xf numFmtId="0" fontId="24" fillId="0" borderId="42" xfId="0" applyFont="1" applyBorder="1" applyAlignment="1">
      <alignment vertical="center"/>
    </xf>
    <xf numFmtId="0" fontId="24" fillId="0" borderId="42" xfId="0" applyFont="1" applyBorder="1" applyAlignment="1">
      <alignment vertical="center" wrapText="1"/>
    </xf>
    <xf numFmtId="2" fontId="24" fillId="0" borderId="42" xfId="4" applyNumberFormat="1" applyFont="1" applyFill="1" applyBorder="1" applyAlignment="1">
      <alignment vertical="center"/>
    </xf>
    <xf numFmtId="168" fontId="24" fillId="0" borderId="42" xfId="2" applyNumberFormat="1" applyFont="1" applyBorder="1" applyAlignment="1">
      <alignment vertical="center"/>
    </xf>
    <xf numFmtId="168" fontId="24" fillId="0" borderId="42" xfId="7" applyNumberFormat="1" applyFont="1" applyBorder="1" applyAlignment="1">
      <alignment vertical="center"/>
    </xf>
    <xf numFmtId="10" fontId="13" fillId="0" borderId="41" xfId="4" applyNumberFormat="1" applyFont="1" applyFill="1" applyBorder="1" applyAlignment="1">
      <alignment vertical="center"/>
    </xf>
    <xf numFmtId="14" fontId="13" fillId="0" borderId="41" xfId="4" applyNumberFormat="1" applyFont="1" applyFill="1" applyBorder="1" applyAlignment="1">
      <alignment vertical="center"/>
    </xf>
    <xf numFmtId="2" fontId="44" fillId="0" borderId="0" xfId="0" applyNumberFormat="1" applyFont="1" applyAlignment="1">
      <alignment vertical="center"/>
    </xf>
    <xf numFmtId="2" fontId="44" fillId="0" borderId="0" xfId="0" applyNumberFormat="1" applyFont="1" applyAlignment="1">
      <alignment vertical="center" wrapText="1"/>
    </xf>
    <xf numFmtId="2" fontId="45" fillId="0" borderId="0" xfId="0" applyNumberFormat="1" applyFont="1" applyAlignment="1">
      <alignment vertical="center" wrapText="1"/>
    </xf>
    <xf numFmtId="168" fontId="44" fillId="0" borderId="0" xfId="0" applyNumberFormat="1" applyFont="1" applyAlignment="1">
      <alignment vertical="center"/>
    </xf>
    <xf numFmtId="0" fontId="44" fillId="0" borderId="0" xfId="0" applyFont="1" applyAlignment="1">
      <alignment vertical="center"/>
    </xf>
    <xf numFmtId="2" fontId="44" fillId="0" borderId="42" xfId="0" applyNumberFormat="1" applyFont="1" applyBorder="1" applyAlignment="1">
      <alignment vertical="center" wrapText="1"/>
    </xf>
    <xf numFmtId="2" fontId="45" fillId="13" borderId="42" xfId="0" applyNumberFormat="1" applyFont="1" applyFill="1" applyBorder="1" applyAlignment="1">
      <alignment vertical="center" wrapText="1"/>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right" vertical="top"/>
    </xf>
    <xf numFmtId="0" fontId="0" fillId="0" borderId="0" xfId="0" applyAlignment="1">
      <alignment horizontal="center"/>
    </xf>
    <xf numFmtId="49" fontId="0" fillId="0" borderId="0" xfId="0" applyNumberFormat="1"/>
    <xf numFmtId="49" fontId="0" fillId="0" borderId="22" xfId="0" applyNumberFormat="1" applyBorder="1"/>
    <xf numFmtId="3" fontId="0" fillId="0" borderId="0" xfId="0" applyNumberFormat="1"/>
    <xf numFmtId="3" fontId="0" fillId="0" borderId="22" xfId="0" applyNumberFormat="1" applyBorder="1"/>
    <xf numFmtId="0" fontId="0" fillId="0" borderId="22" xfId="0" applyBorder="1"/>
    <xf numFmtId="49" fontId="9" fillId="0" borderId="22" xfId="0" applyNumberFormat="1" applyFont="1" applyBorder="1" applyAlignment="1">
      <alignment vertical="center" wrapText="1"/>
    </xf>
    <xf numFmtId="0" fontId="9" fillId="0" borderId="22" xfId="0" applyFont="1" applyBorder="1" applyAlignment="1">
      <alignment vertical="center" wrapText="1"/>
    </xf>
    <xf numFmtId="0" fontId="0" fillId="0" borderId="21" xfId="0" applyBorder="1"/>
    <xf numFmtId="3" fontId="13" fillId="0" borderId="21" xfId="0" applyNumberFormat="1" applyFont="1" applyBorder="1"/>
    <xf numFmtId="3" fontId="13" fillId="0" borderId="0" xfId="0" applyNumberFormat="1" applyFont="1"/>
    <xf numFmtId="3" fontId="13" fillId="0" borderId="22" xfId="0" applyNumberFormat="1" applyFont="1" applyBorder="1"/>
    <xf numFmtId="170" fontId="46" fillId="0" borderId="0" xfId="0" applyNumberFormat="1" applyFont="1" applyAlignment="1">
      <alignment vertical="center"/>
    </xf>
    <xf numFmtId="0" fontId="3" fillId="0" borderId="0" xfId="0" applyFont="1" applyAlignment="1">
      <alignment vertical="center"/>
    </xf>
    <xf numFmtId="0" fontId="1" fillId="0" borderId="0" xfId="0" applyFont="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6" xfId="0" applyFont="1" applyBorder="1" applyAlignment="1">
      <alignment vertical="center"/>
    </xf>
    <xf numFmtId="0" fontId="1" fillId="0" borderId="21" xfId="0" applyFont="1" applyBorder="1" applyAlignment="1">
      <alignment horizontal="center" vertical="center"/>
    </xf>
    <xf numFmtId="0" fontId="1" fillId="0" borderId="15" xfId="0" applyFont="1" applyBorder="1" applyAlignment="1">
      <alignment vertical="center"/>
    </xf>
    <xf numFmtId="0" fontId="1" fillId="0" borderId="16" xfId="0" applyFont="1" applyBorder="1" applyAlignment="1">
      <alignment horizontal="center" vertical="center"/>
    </xf>
    <xf numFmtId="0" fontId="1" fillId="0" borderId="18"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3" fillId="0" borderId="19" xfId="0" applyFont="1" applyBorder="1" applyAlignment="1">
      <alignment vertical="center"/>
    </xf>
    <xf numFmtId="0" fontId="1" fillId="0" borderId="20" xfId="0" applyFont="1" applyBorder="1" applyAlignment="1">
      <alignment horizontal="center" vertical="center"/>
    </xf>
    <xf numFmtId="0" fontId="1" fillId="0" borderId="27" xfId="0" applyFont="1" applyBorder="1" applyAlignment="1">
      <alignment vertical="center"/>
    </xf>
    <xf numFmtId="0" fontId="1" fillId="0" borderId="38" xfId="0" applyFont="1" applyBorder="1" applyAlignment="1">
      <alignment horizontal="center" vertical="center"/>
    </xf>
    <xf numFmtId="165" fontId="1" fillId="0" borderId="0" xfId="0" applyNumberFormat="1" applyFont="1" applyAlignment="1">
      <alignment vertical="center"/>
    </xf>
    <xf numFmtId="2" fontId="1" fillId="10" borderId="10" xfId="0" applyNumberFormat="1" applyFont="1" applyFill="1" applyBorder="1" applyAlignment="1" applyProtection="1">
      <alignment horizontal="center" vertical="center"/>
      <protection locked="0"/>
    </xf>
    <xf numFmtId="2" fontId="1" fillId="10" borderId="14" xfId="0" applyNumberFormat="1" applyFont="1" applyFill="1" applyBorder="1" applyAlignment="1" applyProtection="1">
      <alignment horizontal="center" vertical="center"/>
      <protection locked="0"/>
    </xf>
    <xf numFmtId="1" fontId="1" fillId="10" borderId="13" xfId="0" applyNumberFormat="1" applyFont="1" applyFill="1" applyBorder="1" applyAlignment="1" applyProtection="1">
      <alignment horizontal="center" vertical="center"/>
      <protection locked="0"/>
    </xf>
    <xf numFmtId="3" fontId="1" fillId="10" borderId="10" xfId="0" applyNumberFormat="1" applyFont="1" applyFill="1" applyBorder="1" applyAlignment="1" applyProtection="1">
      <alignment horizontal="center" vertical="center"/>
      <protection locked="0"/>
    </xf>
    <xf numFmtId="3" fontId="1" fillId="10" borderId="13" xfId="0" applyNumberFormat="1" applyFont="1" applyFill="1" applyBorder="1" applyAlignment="1" applyProtection="1">
      <alignment horizontal="center" vertical="center"/>
      <protection locked="0"/>
    </xf>
    <xf numFmtId="10" fontId="13" fillId="0" borderId="41" xfId="4" applyNumberFormat="1" applyFont="1" applyFill="1" applyBorder="1" applyAlignment="1" applyProtection="1">
      <alignment vertical="center"/>
      <protection locked="0"/>
    </xf>
    <xf numFmtId="14" fontId="13" fillId="0" borderId="41" xfId="4" applyNumberFormat="1" applyFont="1" applyFill="1" applyBorder="1" applyAlignment="1" applyProtection="1">
      <alignment vertical="center"/>
      <protection locked="0"/>
    </xf>
    <xf numFmtId="2" fontId="35" fillId="0" borderId="0" xfId="4" applyNumberFormat="1" applyFont="1" applyFill="1" applyBorder="1" applyAlignment="1" applyProtection="1">
      <alignment vertical="center"/>
      <protection locked="0"/>
    </xf>
    <xf numFmtId="2" fontId="13" fillId="0" borderId="0" xfId="4" applyNumberFormat="1" applyFont="1" applyFill="1" applyBorder="1" applyAlignment="1" applyProtection="1">
      <alignment vertical="center"/>
      <protection locked="0"/>
    </xf>
    <xf numFmtId="10" fontId="13" fillId="0" borderId="0" xfId="4" applyNumberFormat="1" applyFont="1" applyFill="1" applyBorder="1" applyAlignment="1" applyProtection="1">
      <alignment vertical="center"/>
      <protection locked="0"/>
    </xf>
    <xf numFmtId="2" fontId="21" fillId="0" borderId="0" xfId="4" applyNumberFormat="1" applyFont="1" applyFill="1" applyBorder="1" applyAlignment="1" applyProtection="1">
      <alignment vertical="center"/>
      <protection locked="0"/>
    </xf>
    <xf numFmtId="0" fontId="21" fillId="0" borderId="0" xfId="0" applyFont="1" applyAlignment="1" applyProtection="1">
      <alignment vertical="center"/>
      <protection locked="0"/>
    </xf>
    <xf numFmtId="2" fontId="31" fillId="0" borderId="0" xfId="4" applyNumberFormat="1" applyFont="1" applyFill="1" applyBorder="1" applyAlignment="1" applyProtection="1">
      <alignment vertical="center"/>
      <protection locked="0"/>
    </xf>
    <xf numFmtId="2" fontId="44" fillId="0" borderId="0" xfId="4" applyNumberFormat="1" applyFont="1" applyFill="1" applyBorder="1" applyAlignment="1" applyProtection="1">
      <alignment vertical="center"/>
      <protection locked="0"/>
    </xf>
    <xf numFmtId="2" fontId="27" fillId="0" borderId="0" xfId="4" applyNumberFormat="1" applyFont="1" applyFill="1" applyBorder="1" applyAlignment="1" applyProtection="1">
      <alignment vertical="center"/>
      <protection locked="0"/>
    </xf>
    <xf numFmtId="0" fontId="15" fillId="0" borderId="41" xfId="0" applyFont="1" applyBorder="1" applyAlignment="1">
      <alignment wrapText="1"/>
    </xf>
    <xf numFmtId="0" fontId="12" fillId="0" borderId="0" xfId="0" applyFont="1"/>
    <xf numFmtId="3" fontId="13" fillId="0" borderId="0" xfId="9" applyNumberFormat="1" applyFont="1"/>
    <xf numFmtId="3" fontId="13" fillId="0" borderId="0" xfId="9" applyNumberFormat="1" applyFont="1" applyFill="1" applyBorder="1"/>
    <xf numFmtId="3" fontId="13" fillId="0" borderId="22" xfId="9" applyNumberFormat="1" applyFont="1" applyBorder="1"/>
    <xf numFmtId="3" fontId="13" fillId="0" borderId="22" xfId="9" applyNumberFormat="1" applyFont="1" applyFill="1" applyBorder="1"/>
    <xf numFmtId="4" fontId="0" fillId="0" borderId="0" xfId="0" applyNumberFormat="1"/>
    <xf numFmtId="49" fontId="9" fillId="0" borderId="1" xfId="0" applyNumberFormat="1" applyFont="1" applyBorder="1"/>
    <xf numFmtId="3" fontId="9" fillId="14" borderId="2" xfId="0" applyNumberFormat="1" applyFont="1" applyFill="1" applyBorder="1"/>
    <xf numFmtId="49" fontId="9" fillId="0" borderId="2" xfId="0" applyNumberFormat="1" applyFont="1" applyBorder="1"/>
    <xf numFmtId="49" fontId="9" fillId="0" borderId="3" xfId="0" applyNumberFormat="1" applyFont="1" applyBorder="1"/>
    <xf numFmtId="14" fontId="0" fillId="0" borderId="0" xfId="0" applyNumberFormat="1"/>
    <xf numFmtId="0" fontId="0" fillId="0" borderId="48" xfId="0" applyBorder="1"/>
    <xf numFmtId="0" fontId="0" fillId="0" borderId="49" xfId="0" applyBorder="1"/>
    <xf numFmtId="0" fontId="0" fillId="0" borderId="50" xfId="0" applyBorder="1"/>
    <xf numFmtId="0" fontId="48" fillId="0" borderId="0" xfId="0" applyFont="1"/>
    <xf numFmtId="0" fontId="49" fillId="0" borderId="0" xfId="0" applyFont="1" applyAlignment="1">
      <alignment horizontal="right"/>
    </xf>
    <xf numFmtId="0" fontId="49" fillId="0" borderId="0" xfId="0" applyFont="1" applyAlignment="1">
      <alignment horizontal="center"/>
    </xf>
    <xf numFmtId="14" fontId="49" fillId="0" borderId="0" xfId="0" applyNumberFormat="1" applyFont="1" applyAlignment="1">
      <alignment horizontal="center"/>
    </xf>
    <xf numFmtId="14" fontId="0" fillId="0" borderId="43" xfId="0" applyNumberFormat="1" applyBorder="1" applyAlignment="1">
      <alignment horizontal="left" vertical="top" wrapText="1"/>
    </xf>
    <xf numFmtId="0" fontId="0" fillId="0" borderId="41" xfId="0" applyBorder="1" applyAlignment="1">
      <alignment horizontal="left" vertical="top" wrapText="1"/>
    </xf>
    <xf numFmtId="14" fontId="0" fillId="0" borderId="44" xfId="0" applyNumberFormat="1" applyBorder="1" applyAlignment="1">
      <alignment horizontal="left" vertical="top" wrapText="1"/>
    </xf>
    <xf numFmtId="0" fontId="0" fillId="0" borderId="46" xfId="0" applyBorder="1" applyAlignment="1">
      <alignment horizontal="left" vertical="top" wrapText="1"/>
    </xf>
    <xf numFmtId="0" fontId="7" fillId="0" borderId="0" xfId="1" applyBorder="1"/>
    <xf numFmtId="164" fontId="31" fillId="0" borderId="0" xfId="0" applyNumberFormat="1" applyFont="1" applyAlignment="1">
      <alignment vertical="center"/>
    </xf>
    <xf numFmtId="164" fontId="31" fillId="0" borderId="0" xfId="4" applyNumberFormat="1" applyFont="1" applyFill="1" applyBorder="1" applyAlignment="1" applyProtection="1">
      <alignment vertical="center"/>
      <protection locked="0"/>
    </xf>
    <xf numFmtId="14" fontId="0" fillId="0" borderId="51" xfId="0" applyNumberFormat="1" applyBorder="1" applyAlignment="1">
      <alignment horizontal="left" vertical="top" wrapText="1"/>
    </xf>
    <xf numFmtId="0" fontId="0" fillId="0" borderId="52" xfId="0" applyBorder="1" applyAlignment="1">
      <alignment horizontal="left" vertical="top" wrapText="1"/>
    </xf>
    <xf numFmtId="14" fontId="0" fillId="0" borderId="53" xfId="0" applyNumberFormat="1" applyBorder="1" applyAlignment="1">
      <alignment horizontal="left" vertical="top" wrapText="1"/>
    </xf>
    <xf numFmtId="14" fontId="0" fillId="0" borderId="45" xfId="0" applyNumberFormat="1" applyBorder="1" applyAlignment="1">
      <alignment horizontal="left" vertical="top" wrapText="1"/>
    </xf>
    <xf numFmtId="14" fontId="0" fillId="0" borderId="47" xfId="0" applyNumberFormat="1" applyBorder="1" applyAlignment="1">
      <alignment horizontal="left" vertical="top" wrapText="1"/>
    </xf>
    <xf numFmtId="0" fontId="7" fillId="0" borderId="0" xfId="1" applyBorder="1" applyAlignment="1">
      <alignment vertical="center"/>
    </xf>
    <xf numFmtId="0" fontId="51" fillId="0" borderId="0" xfId="0" applyFont="1" applyAlignment="1">
      <alignment vertical="center"/>
    </xf>
    <xf numFmtId="0" fontId="2" fillId="0" borderId="0" xfId="0" applyFont="1"/>
    <xf numFmtId="0" fontId="2" fillId="0" borderId="0" xfId="9" applyNumberFormat="1" applyFont="1" applyBorder="1"/>
    <xf numFmtId="171" fontId="2" fillId="0" borderId="0" xfId="9" applyNumberFormat="1" applyFont="1" applyBorder="1"/>
    <xf numFmtId="0" fontId="1" fillId="0" borderId="37" xfId="0" applyFont="1" applyBorder="1" applyAlignment="1">
      <alignment vertical="center"/>
    </xf>
    <xf numFmtId="0" fontId="1" fillId="0" borderId="0" xfId="0" applyFont="1" applyAlignment="1">
      <alignment horizontal="center" vertical="center"/>
    </xf>
    <xf numFmtId="0" fontId="1" fillId="0" borderId="0" xfId="0" applyFont="1" applyAlignment="1" applyProtection="1">
      <alignment vertical="center"/>
      <protection locked="0"/>
    </xf>
    <xf numFmtId="0" fontId="1" fillId="0" borderId="22" xfId="0" applyFont="1" applyBorder="1" applyAlignment="1" applyProtection="1">
      <alignment vertical="center"/>
      <protection locked="0"/>
    </xf>
    <xf numFmtId="0" fontId="1" fillId="0" borderId="2" xfId="0" applyFont="1" applyBorder="1" applyAlignment="1" applyProtection="1">
      <alignment vertical="center"/>
      <protection locked="0"/>
    </xf>
    <xf numFmtId="14" fontId="1" fillId="0" borderId="0" xfId="0" applyNumberFormat="1" applyFont="1" applyAlignment="1">
      <alignment horizontal="left" vertical="center"/>
    </xf>
    <xf numFmtId="0" fontId="1" fillId="0" borderId="0" xfId="0" applyFont="1" applyAlignment="1">
      <alignment vertical="center" wrapText="1"/>
    </xf>
    <xf numFmtId="1" fontId="1" fillId="10" borderId="10" xfId="0" applyNumberFormat="1" applyFont="1" applyFill="1" applyBorder="1" applyAlignment="1" applyProtection="1">
      <alignment horizontal="center" vertical="center"/>
      <protection locked="0"/>
    </xf>
    <xf numFmtId="49" fontId="1" fillId="0" borderId="0" xfId="0" applyNumberFormat="1" applyFont="1" applyAlignment="1">
      <alignment horizontal="right" vertical="center"/>
    </xf>
    <xf numFmtId="49" fontId="3" fillId="0" borderId="0" xfId="0" applyNumberFormat="1" applyFont="1" applyAlignment="1">
      <alignment horizontal="right" vertical="center"/>
    </xf>
    <xf numFmtId="49" fontId="1" fillId="0" borderId="0" xfId="0" applyNumberFormat="1" applyFont="1" applyAlignment="1">
      <alignment horizontal="right" vertical="center" wrapText="1"/>
    </xf>
    <xf numFmtId="0" fontId="3" fillId="0" borderId="0" xfId="0" applyFont="1" applyAlignment="1">
      <alignment vertical="top" wrapText="1"/>
    </xf>
    <xf numFmtId="0" fontId="9" fillId="11" borderId="0" xfId="0" applyFont="1" applyFill="1"/>
    <xf numFmtId="0" fontId="0" fillId="11" borderId="0" xfId="0" applyFill="1"/>
    <xf numFmtId="0" fontId="9" fillId="11" borderId="0" xfId="0" applyFont="1" applyFill="1" applyAlignment="1">
      <alignment vertical="center"/>
    </xf>
    <xf numFmtId="0" fontId="0" fillId="11" borderId="0" xfId="0" applyFill="1" applyAlignment="1">
      <alignment vertical="center"/>
    </xf>
    <xf numFmtId="0" fontId="9" fillId="8" borderId="0" xfId="0" applyFont="1" applyFill="1"/>
    <xf numFmtId="0" fontId="0" fillId="8" borderId="0" xfId="0" applyFill="1"/>
    <xf numFmtId="0" fontId="9" fillId="8" borderId="0" xfId="0" applyFont="1" applyFill="1" applyAlignment="1">
      <alignment vertical="center"/>
    </xf>
    <xf numFmtId="2" fontId="0" fillId="0" borderId="0" xfId="0" applyNumberFormat="1"/>
    <xf numFmtId="1" fontId="0" fillId="0" borderId="0" xfId="0" applyNumberFormat="1"/>
    <xf numFmtId="1" fontId="53" fillId="16" borderId="0" xfId="11" applyNumberFormat="1"/>
    <xf numFmtId="0" fontId="0" fillId="0" borderId="0" xfId="0" applyAlignment="1">
      <alignment horizontal="left" vertical="top" wrapText="1"/>
    </xf>
    <xf numFmtId="0" fontId="0" fillId="0" borderId="0" xfId="0" applyAlignment="1">
      <alignment horizontal="left" vertical="center" wrapText="1"/>
    </xf>
    <xf numFmtId="0" fontId="9" fillId="11" borderId="56" xfId="0" applyFont="1" applyFill="1" applyBorder="1" applyAlignment="1">
      <alignment vertical="center"/>
    </xf>
    <xf numFmtId="0" fontId="0" fillId="11" borderId="57" xfId="0" applyFill="1" applyBorder="1" applyAlignment="1">
      <alignment vertical="center"/>
    </xf>
    <xf numFmtId="0" fontId="9" fillId="11" borderId="57" xfId="0" applyFont="1" applyFill="1" applyBorder="1" applyAlignment="1">
      <alignment vertical="center"/>
    </xf>
    <xf numFmtId="0" fontId="9" fillId="11" borderId="55" xfId="0" applyFont="1" applyFill="1" applyBorder="1" applyAlignment="1">
      <alignment vertical="center"/>
    </xf>
    <xf numFmtId="0" fontId="0" fillId="11" borderId="15" xfId="0" applyFill="1" applyBorder="1" applyAlignment="1">
      <alignment vertical="center"/>
    </xf>
    <xf numFmtId="0" fontId="0" fillId="11" borderId="16" xfId="0" applyFill="1" applyBorder="1" applyAlignment="1">
      <alignment vertical="center"/>
    </xf>
    <xf numFmtId="0" fontId="0" fillId="11" borderId="13" xfId="0" applyFill="1" applyBorder="1" applyAlignment="1">
      <alignment vertical="center"/>
    </xf>
    <xf numFmtId="0" fontId="0" fillId="11" borderId="58" xfId="0" applyFill="1" applyBorder="1" applyAlignment="1">
      <alignment vertical="center"/>
    </xf>
    <xf numFmtId="0" fontId="0" fillId="11" borderId="20" xfId="0" applyFill="1" applyBorder="1" applyAlignment="1">
      <alignment vertical="center"/>
    </xf>
    <xf numFmtId="0" fontId="0" fillId="11" borderId="54" xfId="0" applyFill="1" applyBorder="1" applyAlignment="1">
      <alignment vertical="center"/>
    </xf>
    <xf numFmtId="0" fontId="0" fillId="11" borderId="55" xfId="0" applyFill="1" applyBorder="1" applyAlignment="1">
      <alignment vertical="center"/>
    </xf>
    <xf numFmtId="0" fontId="9" fillId="8" borderId="56" xfId="0" applyFont="1" applyFill="1" applyBorder="1" applyAlignment="1">
      <alignment vertical="center"/>
    </xf>
    <xf numFmtId="0" fontId="0" fillId="8" borderId="57" xfId="0" applyFill="1" applyBorder="1"/>
    <xf numFmtId="0" fontId="0" fillId="8" borderId="15" xfId="0" applyFill="1" applyBorder="1" applyAlignment="1">
      <alignment vertical="center"/>
    </xf>
    <xf numFmtId="0" fontId="0" fillId="8" borderId="16" xfId="0" applyFill="1" applyBorder="1"/>
    <xf numFmtId="0" fontId="9" fillId="8" borderId="58" xfId="0" applyFont="1" applyFill="1" applyBorder="1" applyAlignment="1">
      <alignment vertical="center"/>
    </xf>
    <xf numFmtId="0" fontId="0" fillId="8" borderId="20" xfId="0" applyFill="1" applyBorder="1"/>
    <xf numFmtId="0" fontId="52" fillId="15" borderId="59" xfId="10" applyBorder="1"/>
    <xf numFmtId="0" fontId="52" fillId="15" borderId="60" xfId="10" applyBorder="1"/>
    <xf numFmtId="0" fontId="52" fillId="15" borderId="61" xfId="10" applyBorder="1"/>
    <xf numFmtId="0" fontId="0" fillId="11" borderId="18" xfId="0" applyFill="1" applyBorder="1" applyAlignment="1">
      <alignment vertical="center"/>
    </xf>
    <xf numFmtId="0" fontId="0" fillId="11" borderId="62" xfId="0" applyFill="1" applyBorder="1" applyAlignment="1">
      <alignment vertical="center"/>
    </xf>
    <xf numFmtId="0" fontId="0" fillId="11" borderId="63" xfId="0" applyFill="1" applyBorder="1" applyAlignment="1">
      <alignment vertical="center"/>
    </xf>
    <xf numFmtId="49" fontId="0" fillId="0" borderId="21" xfId="0" applyNumberFormat="1" applyBorder="1"/>
    <xf numFmtId="3" fontId="0" fillId="0" borderId="21" xfId="0" applyNumberFormat="1" applyBorder="1"/>
    <xf numFmtId="0" fontId="0" fillId="8" borderId="57" xfId="0" applyFill="1" applyBorder="1" applyAlignment="1">
      <alignment vertical="center"/>
    </xf>
    <xf numFmtId="0" fontId="9" fillId="8" borderId="57" xfId="0" applyFont="1" applyFill="1" applyBorder="1" applyAlignment="1">
      <alignment vertical="center"/>
    </xf>
    <xf numFmtId="0" fontId="9" fillId="8" borderId="55" xfId="0" applyFont="1" applyFill="1" applyBorder="1" applyAlignment="1">
      <alignment vertical="center"/>
    </xf>
    <xf numFmtId="0" fontId="0" fillId="8" borderId="16" xfId="0" applyFill="1" applyBorder="1" applyAlignment="1">
      <alignment vertical="center"/>
    </xf>
    <xf numFmtId="0" fontId="0" fillId="8" borderId="58" xfId="0" applyFill="1" applyBorder="1" applyAlignment="1">
      <alignment vertical="center"/>
    </xf>
    <xf numFmtId="0" fontId="0" fillId="8" borderId="20" xfId="0" applyFill="1" applyBorder="1" applyAlignment="1">
      <alignment vertical="center"/>
    </xf>
    <xf numFmtId="0" fontId="0" fillId="8" borderId="0" xfId="0" applyFill="1" applyAlignment="1">
      <alignment vertical="center"/>
    </xf>
    <xf numFmtId="0" fontId="0" fillId="8" borderId="55" xfId="0" applyFill="1" applyBorder="1" applyAlignment="1">
      <alignment vertical="center"/>
    </xf>
    <xf numFmtId="0" fontId="0" fillId="8" borderId="18" xfId="0" applyFill="1" applyBorder="1" applyAlignment="1">
      <alignment vertical="center"/>
    </xf>
    <xf numFmtId="0" fontId="0" fillId="8" borderId="62" xfId="0" applyFill="1" applyBorder="1" applyAlignment="1">
      <alignment vertical="center"/>
    </xf>
    <xf numFmtId="2" fontId="24" fillId="0" borderId="0" xfId="4" applyNumberFormat="1" applyFont="1" applyFill="1" applyBorder="1" applyAlignment="1" applyProtection="1">
      <alignment vertical="center"/>
      <protection locked="0"/>
    </xf>
    <xf numFmtId="2" fontId="36" fillId="0" borderId="0" xfId="0" applyNumberFormat="1" applyFont="1" applyAlignment="1">
      <alignment vertical="center" wrapText="1"/>
    </xf>
    <xf numFmtId="2" fontId="35" fillId="0" borderId="42" xfId="0" applyNumberFormat="1" applyFont="1" applyBorder="1" applyAlignment="1">
      <alignment vertical="center"/>
    </xf>
    <xf numFmtId="2" fontId="36" fillId="0" borderId="42" xfId="0" applyNumberFormat="1" applyFont="1" applyBorder="1" applyAlignment="1">
      <alignment vertical="center" wrapText="1"/>
    </xf>
    <xf numFmtId="0" fontId="1" fillId="0" borderId="0" xfId="0" applyFont="1" applyAlignment="1">
      <alignment horizontal="right"/>
    </xf>
    <xf numFmtId="2" fontId="46" fillId="0" borderId="0" xfId="0" applyNumberFormat="1" applyFont="1" applyAlignment="1">
      <alignment vertical="center" wrapText="1"/>
    </xf>
    <xf numFmtId="2" fontId="46" fillId="0" borderId="0" xfId="0" applyNumberFormat="1" applyFont="1" applyAlignment="1">
      <alignment vertical="center"/>
    </xf>
    <xf numFmtId="2" fontId="35" fillId="0" borderId="0" xfId="4" applyNumberFormat="1" applyFont="1" applyFill="1" applyBorder="1" applyAlignment="1" applyProtection="1">
      <alignment vertical="center"/>
    </xf>
    <xf numFmtId="168" fontId="24" fillId="0" borderId="0" xfId="4" applyNumberFormat="1" applyFont="1" applyFill="1" applyBorder="1" applyAlignment="1" applyProtection="1">
      <alignment vertical="center"/>
    </xf>
    <xf numFmtId="0" fontId="3" fillId="0" borderId="0" xfId="0" applyFont="1" applyAlignment="1">
      <alignment horizontal="right"/>
    </xf>
    <xf numFmtId="0" fontId="3" fillId="0" borderId="0" xfId="0" applyFont="1" applyAlignment="1">
      <alignment horizontal="right" vertical="center"/>
    </xf>
    <xf numFmtId="0" fontId="55" fillId="0" borderId="0" xfId="0" applyFont="1" applyAlignment="1">
      <alignment horizontal="right"/>
    </xf>
    <xf numFmtId="0" fontId="56" fillId="0" borderId="0" xfId="0" applyFont="1"/>
    <xf numFmtId="0" fontId="3" fillId="0" borderId="41" xfId="0" applyFont="1" applyBorder="1"/>
    <xf numFmtId="0" fontId="3" fillId="0" borderId="41" xfId="0" applyFont="1" applyBorder="1" applyAlignment="1">
      <alignment horizontal="right"/>
    </xf>
    <xf numFmtId="0" fontId="1" fillId="0" borderId="41" xfId="0" applyFont="1" applyBorder="1" applyAlignment="1">
      <alignment horizontal="left"/>
    </xf>
    <xf numFmtId="0" fontId="1" fillId="0" borderId="0" xfId="0" applyFont="1" applyAlignment="1">
      <alignment horizontal="left"/>
    </xf>
    <xf numFmtId="0" fontId="3" fillId="0" borderId="0" xfId="0" applyFont="1" applyAlignment="1">
      <alignment horizontal="left"/>
    </xf>
    <xf numFmtId="0" fontId="4"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horizontal="right" vertical="center"/>
    </xf>
    <xf numFmtId="0" fontId="1" fillId="0" borderId="2" xfId="0" applyFont="1" applyBorder="1" applyAlignment="1">
      <alignment horizontal="right" vertical="center"/>
    </xf>
    <xf numFmtId="0" fontId="3" fillId="0" borderId="64" xfId="0" applyFont="1" applyBorder="1" applyAlignment="1">
      <alignment vertical="center"/>
    </xf>
    <xf numFmtId="0" fontId="6" fillId="0" borderId="0" xfId="0" applyFont="1" applyAlignment="1">
      <alignment vertical="center"/>
    </xf>
    <xf numFmtId="0" fontId="1" fillId="0" borderId="56" xfId="0" applyFont="1" applyBorder="1" applyAlignment="1">
      <alignment vertical="center"/>
    </xf>
    <xf numFmtId="0" fontId="4" fillId="0" borderId="15" xfId="0" applyFont="1" applyBorder="1" applyAlignment="1">
      <alignment vertical="center"/>
    </xf>
    <xf numFmtId="0" fontId="4" fillId="0" borderId="37" xfId="0" applyFont="1" applyBorder="1" applyAlignment="1">
      <alignment horizontal="left" vertical="center"/>
    </xf>
    <xf numFmtId="0" fontId="4" fillId="0" borderId="0" xfId="0" applyFont="1" applyAlignment="1">
      <alignment horizontal="left" vertical="center"/>
    </xf>
    <xf numFmtId="0" fontId="4" fillId="0" borderId="21" xfId="0" applyFont="1" applyBorder="1" applyAlignment="1">
      <alignment horizontal="left" vertical="center"/>
    </xf>
    <xf numFmtId="0" fontId="1" fillId="0" borderId="69" xfId="0" applyFont="1" applyBorder="1" applyAlignment="1">
      <alignment vertical="center"/>
    </xf>
    <xf numFmtId="0" fontId="1" fillId="0" borderId="65" xfId="0" applyFont="1" applyBorder="1" applyAlignment="1">
      <alignment vertical="center"/>
    </xf>
    <xf numFmtId="0" fontId="1" fillId="0" borderId="2" xfId="0" applyFont="1" applyBorder="1" applyAlignment="1">
      <alignment horizontal="left" vertical="center"/>
    </xf>
    <xf numFmtId="0" fontId="1" fillId="0" borderId="2" xfId="0" applyFont="1" applyBorder="1" applyAlignment="1">
      <alignment vertical="center"/>
    </xf>
    <xf numFmtId="1" fontId="1" fillId="10" borderId="35" xfId="0" applyNumberFormat="1" applyFont="1" applyFill="1" applyBorder="1" applyAlignment="1" applyProtection="1">
      <alignment horizontal="center" vertical="center"/>
      <protection locked="0"/>
    </xf>
    <xf numFmtId="164" fontId="1" fillId="0" borderId="0" xfId="0" applyNumberFormat="1" applyFont="1" applyAlignment="1">
      <alignment vertical="center"/>
    </xf>
    <xf numFmtId="0" fontId="11" fillId="0" borderId="0" xfId="0" applyFont="1" applyAlignment="1">
      <alignment vertical="center"/>
    </xf>
    <xf numFmtId="0" fontId="1" fillId="0" borderId="0" xfId="0" applyFont="1" applyAlignment="1" applyProtection="1">
      <alignment horizontal="center" vertical="center"/>
      <protection locked="0"/>
    </xf>
    <xf numFmtId="0" fontId="1" fillId="0" borderId="33" xfId="0" applyFont="1" applyBorder="1" applyAlignment="1">
      <alignment horizontal="center" vertical="center"/>
    </xf>
    <xf numFmtId="0" fontId="57" fillId="0" borderId="0" xfId="1" applyFont="1" applyAlignment="1" applyProtection="1">
      <alignment horizontal="center" vertical="center"/>
    </xf>
    <xf numFmtId="0" fontId="4" fillId="0" borderId="22"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1" fillId="0" borderId="2" xfId="0" applyFont="1" applyBorder="1" applyAlignment="1">
      <alignment horizontal="center" vertical="center"/>
    </xf>
    <xf numFmtId="0" fontId="58" fillId="0" borderId="0" xfId="1" applyFont="1" applyAlignment="1" applyProtection="1">
      <alignment vertical="center"/>
    </xf>
    <xf numFmtId="0" fontId="1" fillId="0" borderId="0" xfId="9" applyNumberFormat="1" applyFont="1" applyBorder="1"/>
    <xf numFmtId="171" fontId="1" fillId="0" borderId="0" xfId="9" applyNumberFormat="1" applyFont="1" applyBorder="1"/>
    <xf numFmtId="0" fontId="58" fillId="0" borderId="0" xfId="1" applyFont="1" applyAlignment="1" applyProtection="1">
      <alignment horizontal="center" vertical="center"/>
    </xf>
    <xf numFmtId="0" fontId="4" fillId="0" borderId="21" xfId="0" applyFont="1" applyBorder="1" applyAlignment="1">
      <alignment horizontal="left" vertical="center" wrapText="1"/>
    </xf>
    <xf numFmtId="0" fontId="11" fillId="0" borderId="22" xfId="0" applyFont="1" applyBorder="1" applyAlignment="1">
      <alignment horizontal="left" vertical="center" wrapText="1"/>
    </xf>
    <xf numFmtId="1" fontId="1" fillId="10" borderId="16" xfId="0" applyNumberFormat="1" applyFont="1" applyFill="1" applyBorder="1" applyAlignment="1" applyProtection="1">
      <alignment horizontal="center" vertical="center"/>
      <protection locked="0"/>
    </xf>
    <xf numFmtId="0" fontId="1" fillId="0" borderId="30" xfId="0" applyFont="1" applyBorder="1" applyAlignment="1">
      <alignment vertical="center"/>
    </xf>
    <xf numFmtId="0" fontId="1" fillId="0" borderId="5" xfId="0" applyFont="1" applyBorder="1" applyAlignment="1">
      <alignment vertical="center"/>
    </xf>
    <xf numFmtId="0" fontId="1" fillId="0" borderId="22" xfId="0" applyFont="1" applyBorder="1" applyAlignment="1">
      <alignment vertical="center"/>
    </xf>
    <xf numFmtId="2" fontId="11" fillId="0" borderId="0" xfId="0" applyNumberFormat="1" applyFont="1"/>
    <xf numFmtId="0" fontId="57" fillId="0" borderId="0" xfId="1" applyFont="1" applyAlignment="1" applyProtection="1">
      <alignment vertical="center"/>
    </xf>
    <xf numFmtId="0" fontId="50" fillId="0" borderId="0" xfId="0" applyFont="1"/>
    <xf numFmtId="0" fontId="4" fillId="0" borderId="0" xfId="0" applyFont="1" applyAlignment="1">
      <alignment horizontal="right"/>
    </xf>
    <xf numFmtId="0" fontId="4" fillId="0" borderId="0" xfId="0" applyFont="1" applyAlignment="1">
      <alignment wrapText="1"/>
    </xf>
    <xf numFmtId="0" fontId="4" fillId="18" borderId="0" xfId="0" applyFont="1" applyFill="1" applyAlignment="1">
      <alignment horizontal="right"/>
    </xf>
    <xf numFmtId="0" fontId="4" fillId="0" borderId="0" xfId="0" quotePrefix="1" applyFont="1"/>
    <xf numFmtId="1" fontId="1" fillId="0" borderId="0" xfId="0" applyNumberFormat="1" applyFont="1"/>
    <xf numFmtId="2" fontId="23" fillId="0" borderId="0" xfId="0" applyNumberFormat="1" applyFont="1" applyAlignment="1">
      <alignment vertical="center"/>
    </xf>
    <xf numFmtId="2" fontId="21" fillId="0" borderId="0" xfId="0" applyNumberFormat="1" applyFont="1" applyAlignment="1">
      <alignment vertical="center" wrapText="1"/>
    </xf>
    <xf numFmtId="2" fontId="21" fillId="0" borderId="42" xfId="0" applyNumberFormat="1" applyFont="1" applyBorder="1" applyAlignment="1">
      <alignment vertical="center" wrapText="1"/>
    </xf>
    <xf numFmtId="2" fontId="23" fillId="5" borderId="0" xfId="0" applyNumberFormat="1" applyFont="1" applyFill="1" applyAlignment="1">
      <alignment vertical="center" wrapText="1"/>
    </xf>
    <xf numFmtId="2" fontId="23" fillId="5" borderId="42" xfId="0" applyNumberFormat="1" applyFont="1" applyFill="1" applyBorder="1" applyAlignment="1">
      <alignment vertical="center" wrapText="1"/>
    </xf>
    <xf numFmtId="2" fontId="41" fillId="0" borderId="0" xfId="0" applyNumberFormat="1" applyFont="1" applyAlignment="1">
      <alignment vertical="center"/>
    </xf>
    <xf numFmtId="2" fontId="45" fillId="0" borderId="0" xfId="0" applyNumberFormat="1" applyFont="1" applyAlignment="1">
      <alignment vertical="center"/>
    </xf>
    <xf numFmtId="0" fontId="0" fillId="11" borderId="66" xfId="0" applyFill="1" applyBorder="1" applyAlignment="1">
      <alignment vertical="center"/>
    </xf>
    <xf numFmtId="0" fontId="0" fillId="8" borderId="62" xfId="0" applyFill="1" applyBorder="1"/>
    <xf numFmtId="0" fontId="61" fillId="0" borderId="0" xfId="0" applyFont="1"/>
    <xf numFmtId="0" fontId="62" fillId="0" borderId="0" xfId="0" applyFont="1"/>
    <xf numFmtId="0" fontId="9" fillId="0" borderId="0" xfId="0" applyFont="1" applyAlignment="1">
      <alignment horizontal="right"/>
    </xf>
    <xf numFmtId="3" fontId="62" fillId="0" borderId="0" xfId="0" applyNumberFormat="1" applyFont="1"/>
    <xf numFmtId="1" fontId="0" fillId="11" borderId="16" xfId="0" applyNumberFormat="1" applyFill="1" applyBorder="1" applyAlignment="1">
      <alignment vertical="center"/>
    </xf>
    <xf numFmtId="1" fontId="0" fillId="11" borderId="62" xfId="0" applyNumberFormat="1" applyFill="1" applyBorder="1" applyAlignment="1">
      <alignment vertical="center"/>
    </xf>
    <xf numFmtId="1" fontId="0" fillId="11" borderId="20" xfId="0" applyNumberFormat="1" applyFill="1" applyBorder="1" applyAlignment="1">
      <alignment vertical="center"/>
    </xf>
    <xf numFmtId="169" fontId="0" fillId="11" borderId="16" xfId="0" applyNumberFormat="1" applyFill="1" applyBorder="1" applyAlignment="1">
      <alignment vertical="center"/>
    </xf>
    <xf numFmtId="169" fontId="0" fillId="11" borderId="62" xfId="0" applyNumberFormat="1" applyFill="1" applyBorder="1" applyAlignment="1">
      <alignment vertical="center"/>
    </xf>
    <xf numFmtId="169" fontId="0" fillId="11" borderId="20" xfId="0" applyNumberFormat="1" applyFill="1" applyBorder="1" applyAlignment="1">
      <alignment vertical="center"/>
    </xf>
    <xf numFmtId="0" fontId="65" fillId="0" borderId="0" xfId="0" applyFont="1" applyAlignment="1">
      <alignment horizontal="left" vertical="center"/>
    </xf>
    <xf numFmtId="0" fontId="30" fillId="0" borderId="0" xfId="8"/>
    <xf numFmtId="3" fontId="1" fillId="10" borderId="14" xfId="0" applyNumberFormat="1" applyFont="1" applyFill="1" applyBorder="1" applyAlignment="1" applyProtection="1">
      <alignment horizontal="center" vertical="center"/>
      <protection locked="0"/>
    </xf>
    <xf numFmtId="169" fontId="4" fillId="0" borderId="0" xfId="0" applyNumberFormat="1" applyFont="1"/>
    <xf numFmtId="3" fontId="1" fillId="0" borderId="2" xfId="0" applyNumberFormat="1" applyFont="1" applyBorder="1" applyAlignment="1">
      <alignment horizontal="right" vertical="center"/>
    </xf>
    <xf numFmtId="164" fontId="0" fillId="0" borderId="0" xfId="0" applyNumberFormat="1"/>
    <xf numFmtId="0" fontId="66" fillId="0" borderId="0" xfId="0" applyFont="1"/>
    <xf numFmtId="0" fontId="3" fillId="0" borderId="36" xfId="0" applyFont="1" applyBorder="1" applyAlignment="1">
      <alignment vertical="center"/>
    </xf>
    <xf numFmtId="0" fontId="1" fillId="0" borderId="37" xfId="0" applyFont="1" applyBorder="1" applyAlignment="1">
      <alignment horizontal="center" vertical="center"/>
    </xf>
    <xf numFmtId="3" fontId="1" fillId="0" borderId="37" xfId="0" applyNumberFormat="1" applyFont="1" applyBorder="1" applyAlignment="1">
      <alignment horizontal="center" vertical="center"/>
    </xf>
    <xf numFmtId="3" fontId="1" fillId="0" borderId="35" xfId="0" applyNumberFormat="1" applyFont="1" applyBorder="1" applyAlignment="1">
      <alignment horizontal="center" vertical="center"/>
    </xf>
    <xf numFmtId="0" fontId="57" fillId="0" borderId="0" xfId="1" applyFont="1" applyAlignment="1" applyProtection="1">
      <alignment horizontal="left" vertical="center"/>
    </xf>
    <xf numFmtId="14" fontId="13" fillId="0" borderId="0" xfId="0" quotePrefix="1" applyNumberFormat="1" applyFont="1" applyAlignment="1">
      <alignment horizontal="right"/>
    </xf>
    <xf numFmtId="49" fontId="11" fillId="0" borderId="0" xfId="0" applyNumberFormat="1" applyFont="1" applyAlignment="1">
      <alignment horizontal="right"/>
    </xf>
    <xf numFmtId="49" fontId="3" fillId="0" borderId="0" xfId="0" applyNumberFormat="1" applyFont="1" applyAlignment="1">
      <alignment horizontal="right"/>
    </xf>
    <xf numFmtId="0" fontId="9" fillId="11" borderId="4" xfId="0" applyFont="1" applyFill="1" applyBorder="1" applyAlignment="1">
      <alignment vertical="center"/>
    </xf>
    <xf numFmtId="1" fontId="0" fillId="11" borderId="14" xfId="0" applyNumberFormat="1" applyFill="1" applyBorder="1" applyAlignment="1">
      <alignment vertical="center"/>
    </xf>
    <xf numFmtId="1" fontId="0" fillId="11" borderId="35" xfId="0" applyNumberFormat="1" applyFill="1" applyBorder="1" applyAlignment="1">
      <alignment vertical="center"/>
    </xf>
    <xf numFmtId="1" fontId="0" fillId="11" borderId="7" xfId="0" applyNumberFormat="1" applyFill="1" applyBorder="1" applyAlignment="1">
      <alignment vertical="center"/>
    </xf>
    <xf numFmtId="0" fontId="0" fillId="11" borderId="4" xfId="0" applyFill="1" applyBorder="1" applyAlignment="1">
      <alignment vertical="center"/>
    </xf>
    <xf numFmtId="169" fontId="0" fillId="11" borderId="14" xfId="0" applyNumberFormat="1" applyFill="1" applyBorder="1" applyAlignment="1">
      <alignment vertical="center"/>
    </xf>
    <xf numFmtId="169" fontId="0" fillId="11" borderId="40" xfId="0" applyNumberFormat="1" applyFill="1" applyBorder="1" applyAlignment="1">
      <alignment vertical="center"/>
    </xf>
    <xf numFmtId="0" fontId="0" fillId="8" borderId="4" xfId="0" applyFill="1" applyBorder="1"/>
    <xf numFmtId="0" fontId="0" fillId="8" borderId="14" xfId="0" applyFill="1" applyBorder="1"/>
    <xf numFmtId="0" fontId="0" fillId="8" borderId="7" xfId="0" applyFill="1" applyBorder="1"/>
    <xf numFmtId="169" fontId="0" fillId="11" borderId="71" xfId="0" applyNumberFormat="1" applyFill="1" applyBorder="1" applyAlignment="1">
      <alignment vertical="center"/>
    </xf>
    <xf numFmtId="169" fontId="24" fillId="0" borderId="0" xfId="4" applyNumberFormat="1" applyFont="1" applyFill="1" applyBorder="1" applyAlignment="1" applyProtection="1">
      <alignment vertical="center"/>
    </xf>
    <xf numFmtId="0" fontId="67" fillId="0" borderId="0" xfId="0" applyFont="1"/>
    <xf numFmtId="168" fontId="0" fillId="0" borderId="0" xfId="0" applyNumberFormat="1" applyAlignment="1">
      <alignment vertical="center"/>
    </xf>
    <xf numFmtId="0" fontId="65" fillId="0" borderId="0" xfId="0" applyFont="1" applyAlignment="1">
      <alignment vertical="center"/>
    </xf>
    <xf numFmtId="0" fontId="68" fillId="0" borderId="0" xfId="0" applyFont="1" applyAlignment="1">
      <alignment horizontal="left"/>
    </xf>
    <xf numFmtId="0" fontId="7" fillId="0" borderId="0" xfId="1" applyFill="1"/>
    <xf numFmtId="2" fontId="0" fillId="11" borderId="16" xfId="0" applyNumberFormat="1" applyFill="1" applyBorder="1" applyAlignment="1">
      <alignment vertical="center"/>
    </xf>
    <xf numFmtId="2" fontId="0" fillId="11" borderId="20" xfId="0" applyNumberFormat="1" applyFill="1" applyBorder="1" applyAlignment="1">
      <alignment vertical="center"/>
    </xf>
    <xf numFmtId="2" fontId="0" fillId="11" borderId="62" xfId="0" applyNumberFormat="1" applyFill="1" applyBorder="1" applyAlignment="1">
      <alignment vertical="center"/>
    </xf>
    <xf numFmtId="1" fontId="0" fillId="8" borderId="16" xfId="0" applyNumberFormat="1" applyFill="1" applyBorder="1" applyAlignment="1">
      <alignment vertical="center"/>
    </xf>
    <xf numFmtId="1" fontId="0" fillId="8" borderId="13" xfId="0" applyNumberFormat="1" applyFill="1" applyBorder="1" applyAlignment="1">
      <alignment vertical="center"/>
    </xf>
    <xf numFmtId="1" fontId="0" fillId="8" borderId="20" xfId="0" applyNumberFormat="1" applyFill="1" applyBorder="1" applyAlignment="1">
      <alignment vertical="center"/>
    </xf>
    <xf numFmtId="1" fontId="0" fillId="8" borderId="54" xfId="0" applyNumberFormat="1" applyFill="1" applyBorder="1" applyAlignment="1">
      <alignment vertical="center"/>
    </xf>
    <xf numFmtId="1" fontId="0" fillId="8" borderId="62" xfId="0" applyNumberFormat="1" applyFill="1" applyBorder="1" applyAlignment="1">
      <alignment vertical="center"/>
    </xf>
    <xf numFmtId="1" fontId="0" fillId="8" borderId="63" xfId="0" applyNumberFormat="1" applyFill="1" applyBorder="1" applyAlignment="1">
      <alignment vertical="center"/>
    </xf>
    <xf numFmtId="1" fontId="0" fillId="8" borderId="20" xfId="0" applyNumberFormat="1" applyFill="1" applyBorder="1"/>
    <xf numFmtId="1" fontId="0" fillId="8" borderId="54" xfId="0" applyNumberFormat="1" applyFill="1" applyBorder="1"/>
    <xf numFmtId="2" fontId="52" fillId="15" borderId="60" xfId="10" applyNumberFormat="1" applyBorder="1"/>
    <xf numFmtId="2" fontId="52" fillId="15" borderId="61" xfId="10" applyNumberFormat="1" applyBorder="1"/>
    <xf numFmtId="168" fontId="43" fillId="0" borderId="0" xfId="0" applyNumberFormat="1" applyFont="1" applyAlignment="1">
      <alignment vertical="center" wrapText="1"/>
    </xf>
    <xf numFmtId="168" fontId="43" fillId="6" borderId="42" xfId="0" applyNumberFormat="1" applyFont="1" applyFill="1" applyBorder="1" applyAlignment="1">
      <alignment vertical="center" wrapText="1"/>
    </xf>
    <xf numFmtId="2" fontId="42" fillId="0" borderId="0" xfId="0" applyNumberFormat="1" applyFont="1" applyAlignment="1">
      <alignment vertical="center"/>
    </xf>
    <xf numFmtId="2" fontId="42" fillId="0" borderId="0" xfId="0" applyNumberFormat="1" applyFont="1" applyAlignment="1">
      <alignment vertical="center" wrapText="1"/>
    </xf>
    <xf numFmtId="2" fontId="42" fillId="3" borderId="42" xfId="0" applyNumberFormat="1" applyFont="1" applyFill="1" applyBorder="1" applyAlignment="1">
      <alignment vertical="center" wrapText="1"/>
    </xf>
    <xf numFmtId="2" fontId="43" fillId="0" borderId="0" xfId="0" applyNumberFormat="1" applyFont="1" applyAlignment="1">
      <alignment vertical="center"/>
    </xf>
    <xf numFmtId="2" fontId="46" fillId="17" borderId="0" xfId="0" applyNumberFormat="1" applyFont="1" applyFill="1" applyAlignment="1">
      <alignment vertical="center" wrapText="1"/>
    </xf>
    <xf numFmtId="2" fontId="46" fillId="17" borderId="42" xfId="0" applyNumberFormat="1" applyFont="1" applyFill="1" applyBorder="1" applyAlignment="1">
      <alignment vertical="center" wrapText="1"/>
    </xf>
    <xf numFmtId="0" fontId="1" fillId="0" borderId="0" xfId="0" applyFont="1" applyAlignment="1" applyProtection="1">
      <alignment horizontal="left" vertical="center"/>
      <protection locked="0"/>
    </xf>
    <xf numFmtId="0" fontId="0" fillId="4" borderId="0" xfId="0" applyFill="1" applyProtection="1">
      <protection locked="0"/>
    </xf>
    <xf numFmtId="2" fontId="0" fillId="18" borderId="0" xfId="0" applyNumberFormat="1" applyFill="1"/>
    <xf numFmtId="2" fontId="44" fillId="0" borderId="0" xfId="4" applyNumberFormat="1" applyFont="1" applyFill="1" applyBorder="1" applyAlignment="1" applyProtection="1">
      <alignment vertical="center"/>
    </xf>
    <xf numFmtId="1" fontId="13" fillId="11" borderId="16" xfId="0" applyNumberFormat="1" applyFont="1" applyFill="1" applyBorder="1" applyAlignment="1">
      <alignment vertical="center"/>
    </xf>
    <xf numFmtId="1" fontId="13" fillId="11" borderId="62" xfId="0" applyNumberFormat="1" applyFont="1" applyFill="1" applyBorder="1" applyAlignment="1">
      <alignment vertical="center"/>
    </xf>
    <xf numFmtId="1" fontId="13" fillId="11" borderId="20" xfId="0" applyNumberFormat="1" applyFont="1" applyFill="1" applyBorder="1" applyAlignment="1">
      <alignment vertical="center"/>
    </xf>
    <xf numFmtId="0" fontId="13" fillId="11" borderId="0" xfId="0" applyFont="1" applyFill="1" applyAlignment="1">
      <alignment vertical="center"/>
    </xf>
    <xf numFmtId="0" fontId="13" fillId="11" borderId="57" xfId="0" applyFont="1" applyFill="1" applyBorder="1" applyAlignment="1">
      <alignment vertical="center"/>
    </xf>
    <xf numFmtId="169" fontId="13" fillId="11" borderId="16" xfId="0" applyNumberFormat="1" applyFont="1" applyFill="1" applyBorder="1" applyAlignment="1">
      <alignment vertical="center"/>
    </xf>
    <xf numFmtId="169" fontId="13" fillId="11" borderId="62" xfId="0" applyNumberFormat="1" applyFont="1" applyFill="1" applyBorder="1" applyAlignment="1">
      <alignment vertical="center"/>
    </xf>
    <xf numFmtId="169" fontId="13" fillId="11" borderId="20" xfId="0" applyNumberFormat="1" applyFont="1" applyFill="1" applyBorder="1" applyAlignment="1">
      <alignment vertical="center"/>
    </xf>
    <xf numFmtId="1" fontId="4" fillId="0" borderId="0" xfId="0" applyNumberFormat="1" applyFont="1"/>
    <xf numFmtId="0" fontId="0" fillId="18" borderId="0" xfId="0" applyFill="1"/>
    <xf numFmtId="0" fontId="7" fillId="0" borderId="0" xfId="1" applyAlignment="1">
      <alignment vertical="center"/>
    </xf>
    <xf numFmtId="0" fontId="7" fillId="0" borderId="0" xfId="1" applyAlignment="1" applyProtection="1">
      <alignment horizontal="left" vertical="center"/>
    </xf>
    <xf numFmtId="10" fontId="13" fillId="0" borderId="0" xfId="4" applyNumberFormat="1" applyFont="1" applyFill="1" applyBorder="1" applyAlignment="1" applyProtection="1">
      <alignment vertical="center"/>
    </xf>
    <xf numFmtId="2" fontId="13" fillId="0" borderId="0" xfId="4" applyNumberFormat="1" applyFont="1" applyFill="1" applyBorder="1" applyAlignment="1" applyProtection="1">
      <alignment vertical="center"/>
    </xf>
    <xf numFmtId="0" fontId="4" fillId="19" borderId="0" xfId="0" applyFont="1" applyFill="1"/>
    <xf numFmtId="3" fontId="1" fillId="0" borderId="12" xfId="0" applyNumberFormat="1" applyFont="1" applyBorder="1" applyAlignment="1">
      <alignment horizontal="center" vertical="center"/>
    </xf>
    <xf numFmtId="3" fontId="1" fillId="0" borderId="10" xfId="0" applyNumberFormat="1" applyFont="1" applyBorder="1" applyAlignment="1">
      <alignment horizontal="center" vertical="center"/>
    </xf>
    <xf numFmtId="167" fontId="1" fillId="0" borderId="12" xfId="0" applyNumberFormat="1" applyFont="1" applyBorder="1" applyAlignment="1">
      <alignment horizontal="center" vertical="center"/>
    </xf>
    <xf numFmtId="167" fontId="1" fillId="0" borderId="10" xfId="0" applyNumberFormat="1" applyFont="1" applyBorder="1" applyAlignment="1">
      <alignment horizontal="center" vertical="center"/>
    </xf>
    <xf numFmtId="2" fontId="1" fillId="0" borderId="12" xfId="0" applyNumberFormat="1" applyFont="1" applyBorder="1" applyAlignment="1">
      <alignment horizontal="center" vertical="center"/>
    </xf>
    <xf numFmtId="2" fontId="1" fillId="0" borderId="10" xfId="0" applyNumberFormat="1" applyFont="1" applyBorder="1" applyAlignment="1">
      <alignment horizontal="center" vertical="center"/>
    </xf>
    <xf numFmtId="0" fontId="1" fillId="4" borderId="41" xfId="0" applyFont="1" applyFill="1" applyBorder="1" applyAlignment="1" applyProtection="1">
      <alignment horizontal="center" vertical="center"/>
      <protection locked="0"/>
    </xf>
    <xf numFmtId="14" fontId="1" fillId="0" borderId="2" xfId="0" applyNumberFormat="1" applyFont="1" applyBorder="1" applyAlignment="1">
      <alignment horizontal="center" vertical="center"/>
    </xf>
    <xf numFmtId="14" fontId="1" fillId="0" borderId="3" xfId="0" applyNumberFormat="1" applyFont="1" applyBorder="1" applyAlignment="1">
      <alignment horizontal="center" vertical="center"/>
    </xf>
    <xf numFmtId="0" fontId="4" fillId="0" borderId="11" xfId="0" applyFont="1" applyBorder="1" applyAlignment="1">
      <alignment horizontal="left" vertical="center"/>
    </xf>
    <xf numFmtId="0" fontId="4" fillId="0" borderId="30" xfId="0" applyFont="1" applyBorder="1" applyAlignment="1">
      <alignment horizontal="left" vertical="center"/>
    </xf>
    <xf numFmtId="0" fontId="4" fillId="0" borderId="32" xfId="0" applyFont="1" applyBorder="1" applyAlignment="1">
      <alignment horizontal="left" vertical="center"/>
    </xf>
    <xf numFmtId="0" fontId="4" fillId="0" borderId="28" xfId="0" applyFont="1" applyBorder="1" applyAlignment="1">
      <alignment horizontal="left" vertical="center"/>
    </xf>
    <xf numFmtId="0" fontId="4" fillId="0" borderId="6" xfId="0" applyFont="1" applyBorder="1" applyAlignment="1">
      <alignment horizontal="left" vertical="center"/>
    </xf>
    <xf numFmtId="0" fontId="4" fillId="0" borderId="29" xfId="0" applyFont="1" applyBorder="1" applyAlignment="1">
      <alignment horizontal="left" vertical="center"/>
    </xf>
    <xf numFmtId="0" fontId="4" fillId="0" borderId="34" xfId="0" applyFont="1" applyBorder="1" applyAlignment="1">
      <alignment horizontal="left" vertical="center"/>
    </xf>
    <xf numFmtId="0" fontId="1" fillId="0" borderId="22" xfId="0" applyFont="1" applyBorder="1" applyAlignment="1">
      <alignment horizontal="left" vertical="center"/>
    </xf>
    <xf numFmtId="0" fontId="1" fillId="0" borderId="40" xfId="0" applyFont="1" applyBorder="1" applyAlignment="1">
      <alignment horizontal="left" vertical="center"/>
    </xf>
    <xf numFmtId="0" fontId="1" fillId="0" borderId="11" xfId="0" applyFont="1" applyBorder="1" applyAlignment="1">
      <alignment horizontal="left" vertical="center"/>
    </xf>
    <xf numFmtId="0" fontId="1" fillId="0" borderId="30" xfId="0" applyFont="1" applyBorder="1" applyAlignment="1">
      <alignment horizontal="left" vertical="center"/>
    </xf>
    <xf numFmtId="0" fontId="1" fillId="0" borderId="39" xfId="0" applyFont="1" applyBorder="1" applyAlignment="1">
      <alignment horizontal="left" vertical="center"/>
    </xf>
    <xf numFmtId="0" fontId="4" fillId="0" borderId="39" xfId="0" applyFont="1" applyBorder="1" applyAlignment="1">
      <alignment horizontal="left" vertical="center"/>
    </xf>
    <xf numFmtId="0" fontId="4" fillId="0" borderId="22" xfId="0" applyFont="1" applyBorder="1" applyAlignment="1">
      <alignment horizontal="left" vertical="center"/>
    </xf>
    <xf numFmtId="0" fontId="4" fillId="0" borderId="68" xfId="0" applyFont="1" applyBorder="1" applyAlignment="1">
      <alignment horizontal="left" vertical="center"/>
    </xf>
    <xf numFmtId="0" fontId="4" fillId="4" borderId="67" xfId="0" applyFont="1" applyFill="1" applyBorder="1" applyAlignment="1" applyProtection="1">
      <alignment horizontal="left" vertical="center"/>
      <protection locked="0"/>
    </xf>
    <xf numFmtId="0" fontId="4" fillId="4" borderId="37" xfId="0" applyFont="1" applyFill="1" applyBorder="1" applyAlignment="1" applyProtection="1">
      <alignment horizontal="left" vertical="center"/>
      <protection locked="0"/>
    </xf>
    <xf numFmtId="0" fontId="4" fillId="4" borderId="35" xfId="0" applyFont="1" applyFill="1" applyBorder="1" applyAlignment="1" applyProtection="1">
      <alignment horizontal="left" vertical="center"/>
      <protection locked="0"/>
    </xf>
    <xf numFmtId="0" fontId="57" fillId="0" borderId="0" xfId="1" applyFont="1" applyAlignment="1" applyProtection="1">
      <alignment horizontal="center" vertical="center"/>
    </xf>
    <xf numFmtId="0" fontId="1" fillId="4" borderId="26" xfId="0" applyFont="1" applyFill="1" applyBorder="1" applyAlignment="1" applyProtection="1">
      <alignment horizontal="left" vertical="center"/>
      <protection locked="0"/>
    </xf>
    <xf numFmtId="0" fontId="1" fillId="4" borderId="65" xfId="0" applyFont="1" applyFill="1" applyBorder="1" applyAlignment="1" applyProtection="1">
      <alignment horizontal="left" vertical="center"/>
      <protection locked="0"/>
    </xf>
    <xf numFmtId="0" fontId="1" fillId="4" borderId="4" xfId="0" applyFont="1" applyFill="1" applyBorder="1" applyAlignment="1" applyProtection="1">
      <alignment horizontal="left" vertical="center"/>
      <protection locked="0"/>
    </xf>
    <xf numFmtId="0" fontId="4" fillId="0" borderId="18" xfId="0" applyFont="1" applyBorder="1" applyAlignment="1">
      <alignment horizontal="left" vertical="center" wrapText="1"/>
    </xf>
    <xf numFmtId="0" fontId="4" fillId="0" borderId="66" xfId="0" applyFont="1" applyBorder="1" applyAlignment="1">
      <alignment horizontal="left" vertical="center" wrapText="1"/>
    </xf>
    <xf numFmtId="3" fontId="1" fillId="4" borderId="26" xfId="0" applyNumberFormat="1" applyFont="1" applyFill="1" applyBorder="1" applyAlignment="1" applyProtection="1">
      <alignment horizontal="center" vertical="center"/>
      <protection locked="0"/>
    </xf>
    <xf numFmtId="3" fontId="1" fillId="4" borderId="65" xfId="0" applyNumberFormat="1" applyFont="1" applyFill="1" applyBorder="1" applyAlignment="1" applyProtection="1">
      <alignment horizontal="center" vertical="center"/>
      <protection locked="0"/>
    </xf>
    <xf numFmtId="3" fontId="1" fillId="4" borderId="4" xfId="0" applyNumberFormat="1" applyFont="1" applyFill="1" applyBorder="1" applyAlignment="1" applyProtection="1">
      <alignment horizontal="center" vertical="center"/>
      <protection locked="0"/>
    </xf>
    <xf numFmtId="0" fontId="1" fillId="0" borderId="41" xfId="0" applyFont="1" applyBorder="1" applyAlignment="1">
      <alignment horizontal="center" vertical="center"/>
    </xf>
    <xf numFmtId="3" fontId="1" fillId="10" borderId="12" xfId="0" applyNumberFormat="1" applyFont="1" applyFill="1" applyBorder="1" applyAlignment="1" applyProtection="1">
      <alignment horizontal="center" vertical="center"/>
      <protection locked="0"/>
    </xf>
    <xf numFmtId="3" fontId="1" fillId="10" borderId="14" xfId="0" applyNumberFormat="1" applyFont="1" applyFill="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 fillId="4" borderId="12" xfId="0" applyFont="1" applyFill="1" applyBorder="1" applyAlignment="1" applyProtection="1">
      <alignment horizontal="center" vertical="center"/>
      <protection locked="0"/>
    </xf>
    <xf numFmtId="0" fontId="1" fillId="4" borderId="9" xfId="0" applyFont="1" applyFill="1" applyBorder="1" applyAlignment="1" applyProtection="1">
      <alignment horizontal="center" vertical="center"/>
      <protection locked="0"/>
    </xf>
    <xf numFmtId="0" fontId="1" fillId="4" borderId="14" xfId="0" applyFont="1" applyFill="1" applyBorder="1" applyAlignment="1" applyProtection="1">
      <alignment horizontal="center" vertical="center"/>
      <protection locked="0"/>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2" borderId="41" xfId="0" applyFont="1" applyFill="1" applyBorder="1" applyAlignment="1" applyProtection="1">
      <alignment horizontal="center" vertical="center"/>
      <protection locked="0"/>
    </xf>
    <xf numFmtId="0" fontId="3" fillId="0" borderId="64" xfId="0" applyFont="1" applyBorder="1" applyAlignment="1">
      <alignment horizontal="center" vertical="center"/>
    </xf>
    <xf numFmtId="0" fontId="3" fillId="0" borderId="70" xfId="0" applyFont="1" applyBorder="1" applyAlignment="1">
      <alignment horizontal="center" vertical="center"/>
    </xf>
    <xf numFmtId="3" fontId="1" fillId="4" borderId="12" xfId="0" applyNumberFormat="1" applyFont="1" applyFill="1" applyBorder="1" applyAlignment="1" applyProtection="1">
      <alignment horizontal="center" vertical="center"/>
      <protection locked="0"/>
    </xf>
    <xf numFmtId="3" fontId="1" fillId="4" borderId="9" xfId="0" applyNumberFormat="1" applyFont="1" applyFill="1" applyBorder="1" applyAlignment="1" applyProtection="1">
      <alignment horizontal="center" vertical="center"/>
      <protection locked="0"/>
    </xf>
    <xf numFmtId="3" fontId="1" fillId="4" borderId="14" xfId="0" applyNumberFormat="1" applyFont="1" applyFill="1" applyBorder="1" applyAlignment="1" applyProtection="1">
      <alignment horizontal="center" vertical="center"/>
      <protection locked="0"/>
    </xf>
    <xf numFmtId="3" fontId="1" fillId="4" borderId="11" xfId="0" applyNumberFormat="1" applyFont="1" applyFill="1" applyBorder="1" applyAlignment="1" applyProtection="1">
      <alignment horizontal="center" vertical="center"/>
      <protection locked="0"/>
    </xf>
    <xf numFmtId="3" fontId="1" fillId="4" borderId="30" xfId="0" applyNumberFormat="1" applyFont="1" applyFill="1" applyBorder="1" applyAlignment="1" applyProtection="1">
      <alignment horizontal="center" vertical="center"/>
      <protection locked="0"/>
    </xf>
    <xf numFmtId="3" fontId="1" fillId="4" borderId="34" xfId="0" applyNumberFormat="1" applyFont="1" applyFill="1" applyBorder="1" applyAlignment="1" applyProtection="1">
      <alignment horizontal="center" vertical="center"/>
      <protection locked="0"/>
    </xf>
    <xf numFmtId="3" fontId="1" fillId="4" borderId="67" xfId="0" applyNumberFormat="1" applyFont="1" applyFill="1" applyBorder="1" applyAlignment="1" applyProtection="1">
      <alignment horizontal="center" vertical="center"/>
      <protection locked="0"/>
    </xf>
    <xf numFmtId="3" fontId="1" fillId="4" borderId="37" xfId="0" applyNumberFormat="1" applyFont="1" applyFill="1" applyBorder="1" applyAlignment="1" applyProtection="1">
      <alignment horizontal="center" vertical="center"/>
      <protection locked="0"/>
    </xf>
    <xf numFmtId="3" fontId="1" fillId="4" borderId="35" xfId="0" applyNumberFormat="1" applyFont="1" applyFill="1" applyBorder="1" applyAlignment="1" applyProtection="1">
      <alignment horizontal="center" vertical="center"/>
      <protection locked="0"/>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31"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33" xfId="0" applyFont="1" applyBorder="1" applyAlignment="1">
      <alignment horizontal="left"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xf>
    <xf numFmtId="1" fontId="1" fillId="10" borderId="12" xfId="0" applyNumberFormat="1" applyFont="1" applyFill="1" applyBorder="1" applyAlignment="1" applyProtection="1">
      <alignment horizontal="center" vertical="center"/>
      <protection locked="0"/>
    </xf>
    <xf numFmtId="1" fontId="1" fillId="10" borderId="10" xfId="0" applyNumberFormat="1" applyFont="1" applyFill="1" applyBorder="1" applyAlignment="1" applyProtection="1">
      <alignment horizontal="center" vertical="center"/>
      <protection locked="0"/>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3" fontId="1" fillId="0" borderId="28" xfId="0" applyNumberFormat="1" applyFont="1" applyBorder="1" applyAlignment="1">
      <alignment horizontal="center" vertical="center"/>
    </xf>
    <xf numFmtId="3" fontId="1" fillId="0" borderId="29" xfId="0" applyNumberFormat="1" applyFont="1" applyBorder="1" applyAlignment="1">
      <alignment horizontal="center" vertical="center"/>
    </xf>
    <xf numFmtId="2" fontId="1" fillId="0" borderId="11" xfId="0" applyNumberFormat="1" applyFont="1" applyBorder="1" applyAlignment="1">
      <alignment horizontal="center" vertical="center"/>
    </xf>
    <xf numFmtId="2" fontId="1" fillId="0" borderId="32" xfId="0" applyNumberFormat="1" applyFont="1" applyBorder="1" applyAlignment="1">
      <alignment horizontal="center" vertical="center"/>
    </xf>
    <xf numFmtId="9" fontId="3" fillId="0" borderId="12" xfId="0" applyNumberFormat="1" applyFont="1" applyBorder="1" applyAlignment="1">
      <alignment horizontal="center" vertical="center" wrapText="1"/>
    </xf>
    <xf numFmtId="9" fontId="3" fillId="0" borderId="10" xfId="0" applyNumberFormat="1" applyFont="1" applyBorder="1" applyAlignment="1">
      <alignment horizontal="center" vertical="center" wrapText="1"/>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left" vertical="center"/>
    </xf>
    <xf numFmtId="0" fontId="1" fillId="0" borderId="36" xfId="0" applyFont="1" applyBorder="1" applyAlignment="1">
      <alignment horizontal="left" vertical="center"/>
    </xf>
    <xf numFmtId="0" fontId="1" fillId="0" borderId="37" xfId="0" applyFont="1" applyBorder="1" applyAlignment="1">
      <alignment horizontal="left" vertical="center"/>
    </xf>
    <xf numFmtId="0" fontId="1" fillId="0" borderId="35" xfId="0" applyFont="1" applyBorder="1" applyAlignment="1">
      <alignment horizontal="left" vertical="center"/>
    </xf>
    <xf numFmtId="10" fontId="3" fillId="0" borderId="28" xfId="0" applyNumberFormat="1" applyFont="1" applyBorder="1" applyAlignment="1">
      <alignment horizontal="center" vertical="center"/>
    </xf>
    <xf numFmtId="10" fontId="3" fillId="0" borderId="7" xfId="0" applyNumberFormat="1" applyFont="1" applyBorder="1" applyAlignment="1">
      <alignment horizontal="center" vertical="center"/>
    </xf>
    <xf numFmtId="3" fontId="1" fillId="0" borderId="7" xfId="0" applyNumberFormat="1" applyFont="1" applyBorder="1" applyAlignment="1">
      <alignment horizontal="center" vertical="center"/>
    </xf>
    <xf numFmtId="0" fontId="3" fillId="0" borderId="2" xfId="0" applyFont="1" applyBorder="1" applyAlignment="1">
      <alignment horizontal="left" vertical="center"/>
    </xf>
    <xf numFmtId="2" fontId="1" fillId="0" borderId="26" xfId="0" applyNumberFormat="1" applyFont="1" applyBorder="1" applyAlignment="1">
      <alignment horizontal="center" vertical="center"/>
    </xf>
    <xf numFmtId="2" fontId="1" fillId="0" borderId="4" xfId="0" applyNumberFormat="1" applyFont="1" applyBorder="1" applyAlignment="1">
      <alignment horizontal="center" vertical="center"/>
    </xf>
    <xf numFmtId="9" fontId="3" fillId="0" borderId="14" xfId="0" applyNumberFormat="1" applyFont="1" applyBorder="1" applyAlignment="1">
      <alignment horizontal="center" vertical="center" wrapText="1"/>
    </xf>
    <xf numFmtId="10" fontId="3" fillId="0" borderId="29" xfId="0" applyNumberFormat="1"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9" xfId="0" applyFont="1" applyBorder="1" applyAlignment="1">
      <alignment horizontal="left" vertical="center"/>
    </xf>
    <xf numFmtId="0" fontId="59" fillId="0" borderId="0" xfId="1" applyFont="1" applyAlignment="1" applyProtection="1">
      <alignment horizontal="center" vertical="center"/>
    </xf>
    <xf numFmtId="166" fontId="1" fillId="0" borderId="12" xfId="0" applyNumberFormat="1" applyFont="1" applyBorder="1" applyAlignment="1">
      <alignment horizontal="center" vertical="center"/>
    </xf>
    <xf numFmtId="166" fontId="1" fillId="0" borderId="9" xfId="0" applyNumberFormat="1" applyFont="1" applyBorder="1" applyAlignment="1">
      <alignment horizontal="center" vertical="center"/>
    </xf>
    <xf numFmtId="0" fontId="1" fillId="4" borderId="11" xfId="0" applyFont="1" applyFill="1" applyBorder="1" applyAlignment="1" applyProtection="1">
      <alignment horizontal="center" vertical="center"/>
      <protection locked="0"/>
    </xf>
    <xf numFmtId="0" fontId="1" fillId="4" borderId="30" xfId="0" applyFont="1" applyFill="1" applyBorder="1" applyAlignment="1" applyProtection="1">
      <alignment horizontal="center" vertical="center"/>
      <protection locked="0"/>
    </xf>
    <xf numFmtId="0" fontId="1" fillId="4" borderId="34" xfId="0" applyFont="1" applyFill="1" applyBorder="1" applyAlignment="1" applyProtection="1">
      <alignment horizontal="center" vertical="center"/>
      <protection locked="0"/>
    </xf>
    <xf numFmtId="3" fontId="1" fillId="2" borderId="24" xfId="0" applyNumberFormat="1" applyFont="1" applyFill="1" applyBorder="1" applyAlignment="1" applyProtection="1">
      <alignment horizontal="center" vertical="center"/>
      <protection locked="0"/>
    </xf>
    <xf numFmtId="3" fontId="1" fillId="2" borderId="0" xfId="0" applyNumberFormat="1" applyFont="1" applyFill="1" applyAlignment="1" applyProtection="1">
      <alignment horizontal="center" vertical="center"/>
      <protection locked="0"/>
    </xf>
    <xf numFmtId="3" fontId="1" fillId="2" borderId="33" xfId="0" applyNumberFormat="1"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right"/>
    </xf>
    <xf numFmtId="0" fontId="9" fillId="0" borderId="42" xfId="0" applyFont="1" applyBorder="1" applyAlignment="1">
      <alignment horizontal="center" vertical="center"/>
    </xf>
    <xf numFmtId="0" fontId="53" fillId="16" borderId="0" xfId="11" applyAlignment="1">
      <alignment horizontal="left"/>
    </xf>
    <xf numFmtId="0" fontId="9" fillId="0" borderId="0" xfId="0" applyFont="1" applyAlignment="1">
      <alignment horizontal="center" vertical="center" wrapText="1"/>
    </xf>
    <xf numFmtId="0" fontId="54" fillId="0" borderId="0" xfId="0" applyFont="1" applyAlignment="1">
      <alignment horizontal="left" vertical="center"/>
    </xf>
    <xf numFmtId="0" fontId="54" fillId="0" borderId="0" xfId="0" applyFont="1" applyAlignment="1">
      <alignment horizontal="center" vertical="center"/>
    </xf>
    <xf numFmtId="0" fontId="0" fillId="0" borderId="0" xfId="0"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49" fontId="0" fillId="0" borderId="1" xfId="0" applyNumberFormat="1" applyBorder="1" applyAlignment="1">
      <alignment horizontal="center"/>
    </xf>
    <xf numFmtId="49" fontId="0" fillId="0" borderId="2" xfId="0" applyNumberFormat="1" applyBorder="1" applyAlignment="1">
      <alignment horizontal="center"/>
    </xf>
    <xf numFmtId="49" fontId="0" fillId="0" borderId="3" xfId="0" applyNumberFormat="1" applyBorder="1" applyAlignment="1">
      <alignment horizontal="center"/>
    </xf>
    <xf numFmtId="0" fontId="11" fillId="0" borderId="0" xfId="0" applyFont="1" applyAlignment="1">
      <alignment horizontal="left" vertical="center" wrapText="1"/>
    </xf>
  </cellXfs>
  <cellStyles count="22">
    <cellStyle name="Gut" xfId="10" builtinId="26"/>
    <cellStyle name="Komma" xfId="9" builtinId="3"/>
    <cellStyle name="Komma 2" xfId="18" xr:uid="{F384C8D5-301F-4C40-869B-27469FCF7593}"/>
    <cellStyle name="Komma 3" xfId="20" xr:uid="{99F053F1-9D3A-4A32-99B5-E87F1CFAD544}"/>
    <cellStyle name="Link" xfId="1" builtinId="8"/>
    <cellStyle name="Normal_Gewichtung Übergang EVE-LIK (V.2)" xfId="13" xr:uid="{00000000-0005-0000-0000-000003000000}"/>
    <cellStyle name="Prozent" xfId="4" builtinId="5"/>
    <cellStyle name="Prozent 2" xfId="21" xr:uid="{368374E1-2698-4413-B2B8-EDA54D3168D0}"/>
    <cellStyle name="Schlecht" xfId="11" builtinId="27"/>
    <cellStyle name="Standard" xfId="0" builtinId="0"/>
    <cellStyle name="Standard 2" xfId="2" xr:uid="{00000000-0005-0000-0000-000007000000}"/>
    <cellStyle name="Standard 2 2" xfId="5" xr:uid="{00000000-0005-0000-0000-000008000000}"/>
    <cellStyle name="Standard 3" xfId="3" xr:uid="{00000000-0005-0000-0000-000009000000}"/>
    <cellStyle name="Standard 3 2" xfId="6" xr:uid="{00000000-0005-0000-0000-00000A000000}"/>
    <cellStyle name="Standard 4" xfId="8" xr:uid="{00000000-0005-0000-0000-00000B000000}"/>
    <cellStyle name="Standard 4 2" xfId="17" xr:uid="{1EB19F30-43E1-4124-9682-EEED1EB680C8}"/>
    <cellStyle name="Standard 5" xfId="12" xr:uid="{00000000-0005-0000-0000-00000C000000}"/>
    <cellStyle name="Standard 6" xfId="14" xr:uid="{00000000-0005-0000-0000-00000D000000}"/>
    <cellStyle name="Standard 6 2" xfId="19" xr:uid="{ACC83556-69DE-4BCA-B934-A11DA8EFA218}"/>
    <cellStyle name="Standard 7" xfId="15" xr:uid="{00000000-0005-0000-0000-00000E000000}"/>
    <cellStyle name="Standard 8" xfId="16" xr:uid="{00000000-0005-0000-0000-00000F000000}"/>
    <cellStyle name="Standard_faxblattformat" xfId="7" xr:uid="{00000000-0005-0000-0000-000010000000}"/>
  </cellStyles>
  <dxfs count="80">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lor rgb="FFFF0000"/>
      </font>
    </dxf>
    <dxf>
      <font>
        <b/>
        <i val="0"/>
        <color rgb="FF00B0F0"/>
      </font>
    </dxf>
    <dxf>
      <border>
        <left/>
        <vertical/>
        <horizontal/>
      </border>
    </dxf>
    <dxf>
      <font>
        <color rgb="FF9C0006"/>
      </font>
      <fill>
        <patternFill>
          <bgColor rgb="FFFFCCCC"/>
        </patternFill>
      </fill>
    </dxf>
    <dxf>
      <font>
        <color rgb="FFC00000"/>
      </font>
      <fill>
        <patternFill>
          <bgColor rgb="FFFFCCCC"/>
        </patternFill>
      </fill>
    </dxf>
    <dxf>
      <fill>
        <patternFill>
          <bgColor indexed="11"/>
        </patternFill>
      </fill>
    </dxf>
    <dxf>
      <fill>
        <patternFill>
          <bgColor indexed="10"/>
        </patternFill>
      </fill>
    </dxf>
    <dxf>
      <fill>
        <patternFill>
          <bgColor indexed="10"/>
        </patternFill>
      </fill>
    </dxf>
    <dxf>
      <fill>
        <patternFill>
          <bgColor indexed="10"/>
        </patternFill>
      </fill>
    </dxf>
    <dxf>
      <font>
        <color rgb="FF9C0006"/>
      </font>
      <fill>
        <patternFill>
          <bgColor rgb="FFFFCCCC"/>
        </patternFill>
      </fill>
    </dxf>
    <dxf>
      <font>
        <color rgb="FFC00000"/>
      </font>
      <fill>
        <patternFill>
          <bgColor rgb="FFFFCCCC"/>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bgColor indexed="11"/>
        </patternFill>
      </fill>
    </dxf>
    <dxf>
      <fill>
        <patternFill>
          <bgColor indexed="10"/>
        </patternFill>
      </fill>
    </dxf>
    <dxf>
      <font>
        <color rgb="FFC00000"/>
      </font>
      <fill>
        <patternFill>
          <bgColor rgb="FFFFCCCC"/>
        </patternFill>
      </fill>
    </dxf>
    <dxf>
      <font>
        <color rgb="FFC00000"/>
      </font>
      <fill>
        <patternFill>
          <bgColor rgb="FFFFCCCC"/>
        </patternFill>
      </fill>
    </dxf>
    <dxf>
      <border>
        <bottom style="thin">
          <color auto="1"/>
        </bottom>
        <vertical/>
        <horizontal/>
      </border>
    </dxf>
    <dxf>
      <font>
        <color theme="0"/>
      </font>
      <fill>
        <patternFill patternType="none">
          <bgColor auto="1"/>
        </patternFill>
      </fill>
      <border>
        <top style="thin">
          <color auto="1"/>
        </top>
        <bottom/>
        <vertical/>
        <horizontal/>
      </border>
    </dxf>
    <dxf>
      <border>
        <bottom style="thin">
          <color auto="1"/>
        </bottom>
        <vertical/>
        <horizontal/>
      </border>
    </dxf>
    <dxf>
      <fill>
        <patternFill>
          <bgColor indexed="10"/>
        </patternFill>
      </fill>
    </dxf>
    <dxf>
      <fill>
        <patternFill>
          <bgColor indexed="10"/>
        </patternFill>
      </fill>
    </dxf>
    <dxf>
      <font>
        <color rgb="FFC00000"/>
      </font>
      <fill>
        <patternFill>
          <bgColor rgb="FFFFCCCC"/>
        </patternFill>
      </fill>
    </dxf>
    <dxf>
      <font>
        <color rgb="FFC00000"/>
      </font>
      <fill>
        <patternFill>
          <bgColor rgb="FFFFCCCC"/>
        </patternFill>
      </fill>
    </dxf>
    <dxf>
      <font>
        <color theme="5"/>
      </font>
    </dxf>
    <dxf>
      <font>
        <color rgb="FFFF0000"/>
      </font>
    </dxf>
    <dxf>
      <font>
        <color rgb="FF9C0006"/>
      </font>
      <fill>
        <patternFill>
          <bgColor rgb="FFFFC7CE"/>
        </patternFill>
      </fill>
    </dxf>
    <dxf>
      <font>
        <color rgb="FFC00000"/>
      </font>
      <fill>
        <patternFill>
          <bgColor rgb="FFFFCCCC"/>
        </patternFill>
      </fill>
    </dxf>
    <dxf>
      <fill>
        <patternFill>
          <bgColor indexed="10"/>
        </patternFill>
      </fill>
    </dxf>
    <dxf>
      <fill>
        <patternFill>
          <bgColor indexed="10"/>
        </patternFill>
      </fill>
    </dxf>
    <dxf>
      <font>
        <color rgb="FFC00000"/>
      </font>
      <fill>
        <patternFill>
          <bgColor rgb="FFFFCCCC"/>
        </patternFill>
      </fill>
    </dxf>
    <dxf>
      <font>
        <color rgb="FFC00000"/>
      </font>
      <fill>
        <patternFill>
          <bgColor rgb="FFFFCCCC"/>
        </patternFill>
      </fill>
    </dxf>
    <dxf>
      <fill>
        <patternFill>
          <bgColor indexed="10"/>
        </patternFill>
      </fill>
    </dxf>
    <dxf>
      <fill>
        <patternFill>
          <bgColor indexed="10"/>
        </patternFill>
      </fill>
    </dxf>
    <dxf>
      <font>
        <color theme="0"/>
      </font>
      <fill>
        <patternFill>
          <bgColor theme="0"/>
        </patternFill>
      </fill>
      <border>
        <left/>
        <right/>
        <top style="thin">
          <color auto="1"/>
        </top>
        <bottom/>
        <vertical/>
        <horizontal/>
      </border>
    </dxf>
    <dxf>
      <font>
        <color theme="0"/>
      </font>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
      <font>
        <b/>
        <i val="0"/>
        <strike val="0"/>
        <condense val="0"/>
        <extend val="0"/>
        <outline val="0"/>
        <shadow val="0"/>
        <u val="none"/>
        <vertAlign val="baseline"/>
        <sz val="9"/>
        <color auto="1"/>
        <name val="Arial"/>
        <scheme val="none"/>
      </font>
      <alignment horizontal="left" vertical="bottom" textRotation="0" wrapText="0" indent="0" justifyLastLine="0" shrinkToFit="0" readingOrder="0"/>
    </dxf>
  </dxfs>
  <tableStyles count="0" defaultTableStyle="TableStyleMedium2" defaultPivotStyle="PivotStyleLight16"/>
  <colors>
    <mruColors>
      <color rgb="FFCCCCFF"/>
      <color rgb="FFD1F0C8"/>
      <color rgb="FFFFCCCC"/>
      <color rgb="FFFFC5C5"/>
      <color rgb="FFFFB7B7"/>
      <color rgb="FFFFEFFF"/>
      <color rgb="FFFFF3FF"/>
      <color rgb="FFFFCCFF"/>
      <color rgb="FFCC3399"/>
      <color rgb="FFF6FA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de-CH">
                <a:solidFill>
                  <a:sysClr val="windowText" lastClr="000000"/>
                </a:solidFill>
              </a:rPr>
              <a:t>Heizkosten in Franken pro Jahr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8.714619326876194E-2"/>
          <c:y val="0.11028062932859609"/>
          <c:w val="0.8900178250016304"/>
          <c:h val="0.68954574546378766"/>
        </c:manualLayout>
      </c:layout>
      <c:barChart>
        <c:barDir val="col"/>
        <c:grouping val="stacked"/>
        <c:varyColors val="0"/>
        <c:ser>
          <c:idx val="2"/>
          <c:order val="0"/>
          <c:tx>
            <c:strRef>
              <c:f>'Grafik Resultat'!$A$5</c:f>
              <c:strCache>
                <c:ptCount val="1"/>
                <c:pt idx="0">
                  <c:v>Kapitalkosten</c:v>
                </c:pt>
              </c:strCache>
            </c:strRef>
          </c:tx>
          <c:spPr>
            <a:solidFill>
              <a:srgbClr val="0070C0"/>
            </a:solidFill>
            <a:ln>
              <a:noFill/>
            </a:ln>
            <a:effectLst/>
          </c:spPr>
          <c:invertIfNegative val="0"/>
          <c:cat>
            <c:strRef>
              <c:f>'Grafik Resultat'!$B$2:$I$2</c:f>
              <c:strCache>
                <c:ptCount val="6"/>
                <c:pt idx="5">
                  <c:v>Oelheizung</c:v>
                </c:pt>
              </c:strCache>
            </c:strRef>
          </c:cat>
          <c:val>
            <c:numRef>
              <c:f>'Grafik Resultat'!$B$5:$I$5</c:f>
              <c:numCache>
                <c:formatCode>#,##0</c:formatCode>
                <c:ptCount val="8"/>
                <c:pt idx="1">
                  <c:v>0</c:v>
                </c:pt>
                <c:pt idx="2">
                  <c:v>0</c:v>
                </c:pt>
                <c:pt idx="3">
                  <c:v>0</c:v>
                </c:pt>
                <c:pt idx="4">
                  <c:v>0</c:v>
                </c:pt>
                <c:pt idx="5">
                  <c:v>2701.8095269922987</c:v>
                </c:pt>
                <c:pt idx="6">
                  <c:v>0</c:v>
                </c:pt>
              </c:numCache>
            </c:numRef>
          </c:val>
          <c:extLst>
            <c:ext xmlns:c16="http://schemas.microsoft.com/office/drawing/2014/chart" uri="{C3380CC4-5D6E-409C-BE32-E72D297353CC}">
              <c16:uniqueId val="{00000000-0136-402E-BBC8-584ED6BB1DE4}"/>
            </c:ext>
          </c:extLst>
        </c:ser>
        <c:ser>
          <c:idx val="1"/>
          <c:order val="1"/>
          <c:tx>
            <c:strRef>
              <c:f>'Grafik Resultat'!$A$4</c:f>
              <c:strCache>
                <c:ptCount val="1"/>
                <c:pt idx="0">
                  <c:v>Wartung und Unterhalt</c:v>
                </c:pt>
              </c:strCache>
            </c:strRef>
          </c:tx>
          <c:spPr>
            <a:solidFill>
              <a:srgbClr val="FFC000"/>
            </a:solidFill>
            <a:ln>
              <a:noFill/>
            </a:ln>
            <a:effectLst/>
          </c:spPr>
          <c:invertIfNegative val="0"/>
          <c:cat>
            <c:strRef>
              <c:f>'Grafik Resultat'!$B$2:$I$2</c:f>
              <c:strCache>
                <c:ptCount val="6"/>
                <c:pt idx="5">
                  <c:v>Oelheizung</c:v>
                </c:pt>
              </c:strCache>
            </c:strRef>
          </c:cat>
          <c:val>
            <c:numRef>
              <c:f>'Grafik Resultat'!$B$4:$I$4</c:f>
              <c:numCache>
                <c:formatCode>#,##0</c:formatCode>
                <c:ptCount val="8"/>
                <c:pt idx="1">
                  <c:v>0</c:v>
                </c:pt>
                <c:pt idx="2">
                  <c:v>0</c:v>
                </c:pt>
                <c:pt idx="3">
                  <c:v>0</c:v>
                </c:pt>
                <c:pt idx="4">
                  <c:v>0</c:v>
                </c:pt>
                <c:pt idx="5">
                  <c:v>1097.9672756419932</c:v>
                </c:pt>
                <c:pt idx="6">
                  <c:v>0</c:v>
                </c:pt>
              </c:numCache>
            </c:numRef>
          </c:val>
          <c:extLst>
            <c:ext xmlns:c16="http://schemas.microsoft.com/office/drawing/2014/chart" uri="{C3380CC4-5D6E-409C-BE32-E72D297353CC}">
              <c16:uniqueId val="{00000001-0136-402E-BBC8-584ED6BB1DE4}"/>
            </c:ext>
          </c:extLst>
        </c:ser>
        <c:ser>
          <c:idx val="0"/>
          <c:order val="2"/>
          <c:tx>
            <c:strRef>
              <c:f>'Grafik Resultat'!$A$3</c:f>
              <c:strCache>
                <c:ptCount val="1"/>
                <c:pt idx="0">
                  <c:v>Energiekosten</c:v>
                </c:pt>
              </c:strCache>
            </c:strRef>
          </c:tx>
          <c:spPr>
            <a:solidFill>
              <a:srgbClr val="339933"/>
            </a:solidFill>
            <a:ln>
              <a:noFill/>
            </a:ln>
            <a:effectLst/>
          </c:spPr>
          <c:invertIfNegative val="0"/>
          <c:cat>
            <c:strRef>
              <c:f>'Grafik Resultat'!$B$2:$I$2</c:f>
              <c:strCache>
                <c:ptCount val="6"/>
                <c:pt idx="5">
                  <c:v>Oelheizung</c:v>
                </c:pt>
              </c:strCache>
            </c:strRef>
          </c:cat>
          <c:val>
            <c:numRef>
              <c:f>'Grafik Resultat'!$B$3:$I$3</c:f>
              <c:numCache>
                <c:formatCode>#,##0</c:formatCode>
                <c:ptCount val="8"/>
                <c:pt idx="1">
                  <c:v>0</c:v>
                </c:pt>
                <c:pt idx="2">
                  <c:v>0</c:v>
                </c:pt>
                <c:pt idx="3">
                  <c:v>0</c:v>
                </c:pt>
                <c:pt idx="4">
                  <c:v>0</c:v>
                </c:pt>
                <c:pt idx="5">
                  <c:v>0</c:v>
                </c:pt>
                <c:pt idx="6">
                  <c:v>0</c:v>
                </c:pt>
              </c:numCache>
            </c:numRef>
          </c:val>
          <c:extLst>
            <c:ext xmlns:c16="http://schemas.microsoft.com/office/drawing/2014/chart" uri="{C3380CC4-5D6E-409C-BE32-E72D297353CC}">
              <c16:uniqueId val="{00000002-0136-402E-BBC8-584ED6BB1DE4}"/>
            </c:ext>
          </c:extLst>
        </c:ser>
        <c:dLbls>
          <c:showLegendKey val="0"/>
          <c:showVal val="0"/>
          <c:showCatName val="0"/>
          <c:showSerName val="0"/>
          <c:showPercent val="0"/>
          <c:showBubbleSize val="0"/>
        </c:dLbls>
        <c:gapWidth val="150"/>
        <c:overlap val="100"/>
        <c:axId val="733547168"/>
        <c:axId val="733549136"/>
      </c:barChart>
      <c:lineChart>
        <c:grouping val="standard"/>
        <c:varyColors val="0"/>
        <c:ser>
          <c:idx val="3"/>
          <c:order val="3"/>
          <c:tx>
            <c:strRef>
              <c:f>'Grafik Resultat'!$A$9</c:f>
              <c:strCache>
                <c:ptCount val="1"/>
                <c:pt idx="0">
                  <c:v>120% - Wert</c:v>
                </c:pt>
              </c:strCache>
            </c:strRef>
          </c:tx>
          <c:spPr>
            <a:ln w="28575" cap="rnd">
              <a:solidFill>
                <a:srgbClr val="FF0000"/>
              </a:solidFill>
              <a:round/>
            </a:ln>
            <a:effectLst/>
          </c:spPr>
          <c:marker>
            <c:symbol val="none"/>
          </c:marker>
          <c:cat>
            <c:strRef>
              <c:f>'Grafik Resultat'!$C$9:$J$9</c:f>
              <c:strCache>
                <c:ptCount val="7"/>
                <c:pt idx="0">
                  <c:v>4'560</c:v>
                </c:pt>
                <c:pt idx="1">
                  <c:v>4'560</c:v>
                </c:pt>
                <c:pt idx="2">
                  <c:v>4'560</c:v>
                </c:pt>
                <c:pt idx="3">
                  <c:v>4'560</c:v>
                </c:pt>
                <c:pt idx="4">
                  <c:v>4'560</c:v>
                </c:pt>
                <c:pt idx="5">
                  <c:v>4'560</c:v>
                </c:pt>
                <c:pt idx="6">
                  <c:v>4'560</c:v>
                </c:pt>
              </c:strCache>
            </c:strRef>
          </c:cat>
          <c:val>
            <c:numRef>
              <c:f>'Grafik Resultat'!$B$9:$I$9</c:f>
              <c:numCache>
                <c:formatCode>#,##0</c:formatCode>
                <c:ptCount val="8"/>
                <c:pt idx="0" formatCode="General">
                  <c:v>4559.7321631611503</c:v>
                </c:pt>
                <c:pt idx="1">
                  <c:v>4559.7321631611503</c:v>
                </c:pt>
                <c:pt idx="2">
                  <c:v>4559.7321631611503</c:v>
                </c:pt>
                <c:pt idx="3">
                  <c:v>4559.7321631611503</c:v>
                </c:pt>
                <c:pt idx="4">
                  <c:v>4559.7321631611503</c:v>
                </c:pt>
                <c:pt idx="5">
                  <c:v>4559.7321631611503</c:v>
                </c:pt>
                <c:pt idx="6">
                  <c:v>4559.7321631611503</c:v>
                </c:pt>
                <c:pt idx="7">
                  <c:v>4559.7321631611503</c:v>
                </c:pt>
              </c:numCache>
            </c:numRef>
          </c:val>
          <c:smooth val="0"/>
          <c:extLst>
            <c:ext xmlns:c16="http://schemas.microsoft.com/office/drawing/2014/chart" uri="{C3380CC4-5D6E-409C-BE32-E72D297353CC}">
              <c16:uniqueId val="{00000003-0136-402E-BBC8-584ED6BB1DE4}"/>
            </c:ext>
          </c:extLst>
        </c:ser>
        <c:dLbls>
          <c:showLegendKey val="0"/>
          <c:showVal val="0"/>
          <c:showCatName val="0"/>
          <c:showSerName val="0"/>
          <c:showPercent val="0"/>
          <c:showBubbleSize val="0"/>
        </c:dLbls>
        <c:marker val="1"/>
        <c:smooth val="0"/>
        <c:axId val="733547168"/>
        <c:axId val="733549136"/>
      </c:lineChart>
      <c:catAx>
        <c:axId val="73354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733549136"/>
        <c:crossesAt val="0"/>
        <c:auto val="1"/>
        <c:lblAlgn val="ctr"/>
        <c:lblOffset val="100"/>
        <c:noMultiLvlLbl val="0"/>
      </c:catAx>
      <c:valAx>
        <c:axId val="733549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733547168"/>
        <c:crossesAt val="1"/>
        <c:crossBetween val="between"/>
      </c:valAx>
      <c:spPr>
        <a:noFill/>
        <a:ln>
          <a:noFill/>
        </a:ln>
        <a:effectLst/>
      </c:spPr>
    </c:plotArea>
    <c:legend>
      <c:legendPos val="b"/>
      <c:layout>
        <c:manualLayout>
          <c:xMode val="edge"/>
          <c:yMode val="edge"/>
          <c:x val="0.11628888581486881"/>
          <c:y val="0.88989188663771357"/>
          <c:w val="0.8837110578568983"/>
          <c:h val="5.3311334137659303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de-CH">
                <a:solidFill>
                  <a:sysClr val="windowText" lastClr="000000"/>
                </a:solidFill>
              </a:rPr>
              <a:t>Primärenergieverbrauch in MWh pro Jahr</a:t>
            </a:r>
          </a:p>
        </c:rich>
      </c:tx>
      <c:overlay val="0"/>
      <c:spPr>
        <a:noFill/>
        <a:ln>
          <a:noFill/>
        </a:ln>
        <a:effectLst/>
      </c:spPr>
    </c:title>
    <c:autoTitleDeleted val="0"/>
    <c:plotArea>
      <c:layout>
        <c:manualLayout>
          <c:layoutTarget val="inner"/>
          <c:xMode val="edge"/>
          <c:yMode val="edge"/>
          <c:x val="0.11775852324932302"/>
          <c:y val="0.16091350140691341"/>
          <c:w val="0.85940563388878721"/>
          <c:h val="0.55545637854770002"/>
        </c:manualLayout>
      </c:layout>
      <c:barChart>
        <c:barDir val="col"/>
        <c:grouping val="stacked"/>
        <c:varyColors val="0"/>
        <c:ser>
          <c:idx val="1"/>
          <c:order val="0"/>
          <c:tx>
            <c:strRef>
              <c:f>'Grafik Resultat'!$J$4</c:f>
              <c:strCache>
                <c:ptCount val="1"/>
                <c:pt idx="0">
                  <c:v>Primärenergie nicht erneuerbar [MWh/a]</c:v>
                </c:pt>
              </c:strCache>
            </c:strRef>
          </c:tx>
          <c:spPr>
            <a:solidFill>
              <a:schemeClr val="bg1">
                <a:lumMod val="75000"/>
              </a:schemeClr>
            </a:solidFill>
          </c:spPr>
          <c:invertIfNegative val="0"/>
          <c:cat>
            <c:strRef>
              <c:f>'Grafik Resultat'!$K$2:$P$2</c:f>
              <c:strCache>
                <c:ptCount val="5"/>
                <c:pt idx="4">
                  <c:v>Oelheizung</c:v>
                </c:pt>
              </c:strCache>
            </c:strRef>
          </c:cat>
          <c:val>
            <c:numRef>
              <c:f>'Grafik Resultat'!$K$4:$P$4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923-486C-B9DA-96F9958D904F}"/>
            </c:ext>
          </c:extLst>
        </c:ser>
        <c:ser>
          <c:idx val="0"/>
          <c:order val="1"/>
          <c:tx>
            <c:strRef>
              <c:f>'Grafik Resultat'!$J$3</c:f>
              <c:strCache>
                <c:ptCount val="1"/>
                <c:pt idx="0">
                  <c:v>Primärenergie erneuerbar [MWh/a]</c:v>
                </c:pt>
              </c:strCache>
            </c:strRef>
          </c:tx>
          <c:spPr>
            <a:solidFill>
              <a:schemeClr val="accent6"/>
            </a:solidFill>
          </c:spPr>
          <c:invertIfNegative val="0"/>
          <c:cat>
            <c:strRef>
              <c:f>'Grafik Resultat'!$K$2:$P$2</c:f>
              <c:strCache>
                <c:ptCount val="5"/>
                <c:pt idx="4">
                  <c:v>Oelheizung</c:v>
                </c:pt>
              </c:strCache>
            </c:strRef>
          </c:cat>
          <c:val>
            <c:numRef>
              <c:f>'Grafik Resultat'!$K$3:$P$3</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923-486C-B9DA-96F9958D904F}"/>
            </c:ext>
          </c:extLst>
        </c:ser>
        <c:dLbls>
          <c:showLegendKey val="0"/>
          <c:showVal val="0"/>
          <c:showCatName val="0"/>
          <c:showSerName val="0"/>
          <c:showPercent val="0"/>
          <c:showBubbleSize val="0"/>
        </c:dLbls>
        <c:gapWidth val="150"/>
        <c:overlap val="100"/>
        <c:axId val="733547168"/>
        <c:axId val="733549136"/>
      </c:barChart>
      <c:catAx>
        <c:axId val="73354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733549136"/>
        <c:crossesAt val="0"/>
        <c:auto val="1"/>
        <c:lblAlgn val="ctr"/>
        <c:lblOffset val="100"/>
        <c:noMultiLvlLbl val="0"/>
      </c:catAx>
      <c:valAx>
        <c:axId val="733549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733547168"/>
        <c:crossesAt val="1"/>
        <c:crossBetween val="between"/>
      </c:valAx>
    </c:plotArea>
    <c:legend>
      <c:legendPos val="b"/>
      <c:overlay val="0"/>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de-CH">
                <a:solidFill>
                  <a:sysClr val="windowText" lastClr="000000"/>
                </a:solidFill>
              </a:rPr>
              <a:t>Treibhausgasemissionen in t CO</a:t>
            </a:r>
            <a:r>
              <a:rPr lang="de-CH" baseline="-25000">
                <a:solidFill>
                  <a:sysClr val="windowText" lastClr="000000"/>
                </a:solidFill>
              </a:rPr>
              <a:t>2</a:t>
            </a:r>
            <a:r>
              <a:rPr lang="de-CH">
                <a:solidFill>
                  <a:sysClr val="windowText" lastClr="000000"/>
                </a:solidFill>
              </a:rPr>
              <a:t>-eq pro Jahr</a:t>
            </a:r>
          </a:p>
        </c:rich>
      </c:tx>
      <c:layout>
        <c:manualLayout>
          <c:xMode val="edge"/>
          <c:yMode val="edge"/>
          <c:x val="0.27377892030848328"/>
          <c:y val="2.9010005025355202E-2"/>
        </c:manualLayout>
      </c:layout>
      <c:overlay val="0"/>
      <c:spPr>
        <a:noFill/>
        <a:ln>
          <a:noFill/>
        </a:ln>
        <a:effectLst/>
      </c:spPr>
    </c:title>
    <c:autoTitleDeleted val="0"/>
    <c:plotArea>
      <c:layout>
        <c:manualLayout>
          <c:layoutTarget val="inner"/>
          <c:xMode val="edge"/>
          <c:yMode val="edge"/>
          <c:x val="0.11775852324932302"/>
          <c:y val="0.16091350140691341"/>
          <c:w val="0.85940563388878721"/>
          <c:h val="0.55925474254742547"/>
        </c:manualLayout>
      </c:layout>
      <c:barChart>
        <c:barDir val="col"/>
        <c:grouping val="stacked"/>
        <c:varyColors val="0"/>
        <c:ser>
          <c:idx val="2"/>
          <c:order val="0"/>
          <c:tx>
            <c:strRef>
              <c:f>'Grafik Resultat'!$J$6</c:f>
              <c:strCache>
                <c:ptCount val="1"/>
                <c:pt idx="0">
                  <c:v>Treibhausgasemissionen indirekt [t CO2-eq/a]</c:v>
                </c:pt>
              </c:strCache>
            </c:strRef>
          </c:tx>
          <c:spPr>
            <a:solidFill>
              <a:schemeClr val="bg1">
                <a:lumMod val="75000"/>
              </a:schemeClr>
            </a:solidFill>
          </c:spPr>
          <c:invertIfNegative val="0"/>
          <c:cat>
            <c:strRef>
              <c:f>'Grafik Resultat'!$K$2:$P$2</c:f>
              <c:strCache>
                <c:ptCount val="5"/>
                <c:pt idx="4">
                  <c:v>Oelheizung</c:v>
                </c:pt>
              </c:strCache>
            </c:strRef>
          </c:cat>
          <c:val>
            <c:numRef>
              <c:f>'Grafik Resultat'!$K$6:$P$6</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7C1-4494-BD65-ADDAE696D5FE}"/>
            </c:ext>
          </c:extLst>
        </c:ser>
        <c:ser>
          <c:idx val="0"/>
          <c:order val="1"/>
          <c:tx>
            <c:strRef>
              <c:f>'Grafik Resultat'!$J$5</c:f>
              <c:strCache>
                <c:ptCount val="1"/>
                <c:pt idx="0">
                  <c:v>Treibhausgasemissionen direkt [t CO2-eq/a]</c:v>
                </c:pt>
              </c:strCache>
            </c:strRef>
          </c:tx>
          <c:spPr>
            <a:solidFill>
              <a:schemeClr val="tx1">
                <a:lumMod val="75000"/>
                <a:lumOff val="25000"/>
              </a:schemeClr>
            </a:solidFill>
          </c:spPr>
          <c:invertIfNegative val="0"/>
          <c:val>
            <c:numRef>
              <c:f>'Grafik Resultat'!$K$5:$P$5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39B-4AE2-A867-65BC240285F8}"/>
            </c:ext>
          </c:extLst>
        </c:ser>
        <c:dLbls>
          <c:showLegendKey val="0"/>
          <c:showVal val="0"/>
          <c:showCatName val="0"/>
          <c:showSerName val="0"/>
          <c:showPercent val="0"/>
          <c:showBubbleSize val="0"/>
        </c:dLbls>
        <c:gapWidth val="150"/>
        <c:overlap val="100"/>
        <c:axId val="733547168"/>
        <c:axId val="733549136"/>
      </c:barChart>
      <c:catAx>
        <c:axId val="73354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733549136"/>
        <c:crossesAt val="0"/>
        <c:auto val="1"/>
        <c:lblAlgn val="ctr"/>
        <c:lblOffset val="100"/>
        <c:noMultiLvlLbl val="0"/>
      </c:catAx>
      <c:valAx>
        <c:axId val="7335491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733547168"/>
        <c:crossesAt val="1"/>
        <c:crossBetween val="between"/>
      </c:valAx>
    </c:plotArea>
    <c:legend>
      <c:legendPos val="b"/>
      <c:overlay val="0"/>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56876</xdr:colOff>
      <xdr:row>0</xdr:row>
      <xdr:rowOff>134613</xdr:rowOff>
    </xdr:from>
    <xdr:to>
      <xdr:col>2</xdr:col>
      <xdr:colOff>774064</xdr:colOff>
      <xdr:row>2</xdr:row>
      <xdr:rowOff>156174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491" y="134613"/>
          <a:ext cx="1085628" cy="390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99059</xdr:colOff>
      <xdr:row>11</xdr:row>
      <xdr:rowOff>26671</xdr:rowOff>
    </xdr:from>
    <xdr:to>
      <xdr:col>8</xdr:col>
      <xdr:colOff>718185</xdr:colOff>
      <xdr:row>36</xdr:row>
      <xdr:rowOff>17145</xdr:rowOff>
    </xdr:to>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xdr:colOff>
      <xdr:row>10</xdr:row>
      <xdr:rowOff>80010</xdr:rowOff>
    </xdr:from>
    <xdr:to>
      <xdr:col>15</xdr:col>
      <xdr:colOff>253365</xdr:colOff>
      <xdr:row>24</xdr:row>
      <xdr:rowOff>39690</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15240</xdr:colOff>
      <xdr:row>24</xdr:row>
      <xdr:rowOff>114300</xdr:rowOff>
    </xdr:from>
    <xdr:to>
      <xdr:col>15</xdr:col>
      <xdr:colOff>253365</xdr:colOff>
      <xdr:row>38</xdr:row>
      <xdr:rowOff>73980</xdr:rowOff>
    </xdr:to>
    <xdr:graphicFrame macro="">
      <xdr:nvGraphicFramePr>
        <xdr:cNvPr id="4" name="Diagram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4" displayName="Table24" ref="A24:B44" totalsRowShown="0" headerRowDxfId="79" dataDxfId="78">
  <autoFilter ref="A24:B44" xr:uid="{00000000-0009-0000-0100-000002000000}"/>
  <tableColumns count="2">
    <tableColumn id="1" xr3:uid="{00000000-0010-0000-0000-000001000000}" name="Code" dataDxfId="77"/>
    <tableColumn id="2" xr3:uid="{00000000-0010-0000-0000-000002000000}" name="Wärmeerzeuger" dataDxfId="76"/>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42" displayName="Table242" ref="A47:B58" totalsRowShown="0" headerRowDxfId="75" dataDxfId="74">
  <autoFilter ref="A47:B58" xr:uid="{00000000-0009-0000-0100-000003000000}"/>
  <tableColumns count="2">
    <tableColumn id="1" xr3:uid="{00000000-0010-0000-0100-000001000000}" name="Code" dataDxfId="73"/>
    <tableColumn id="2" xr3:uid="{00000000-0010-0000-0100-000002000000}" name="Wärmeerzeuger" dataDxfId="7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2" displayName="Table2" ref="D24:F44" totalsRowShown="0" headerRowDxfId="71" dataDxfId="70">
  <autoFilter ref="D24:F44" xr:uid="{00000000-0009-0000-0100-000001000000}"/>
  <tableColumns count="3">
    <tableColumn id="1" xr3:uid="{00000000-0010-0000-0200-000001000000}" name="Code" dataDxfId="69"/>
    <tableColumn id="2" xr3:uid="{00000000-0010-0000-0200-000002000000}" name="Quelle" dataDxfId="68"/>
    <tableColumn id="3" xr3:uid="{00000000-0010-0000-0200-000003000000}" name="Heizsystem (Übersetzung)" dataDxfId="67"/>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425" displayName="Table2425" ref="D47:E60" totalsRowShown="0" headerRowDxfId="66" dataDxfId="65">
  <autoFilter ref="D47:E60" xr:uid="{00000000-0009-0000-0100-000004000000}"/>
  <tableColumns count="2">
    <tableColumn id="1" xr3:uid="{00000000-0010-0000-0300-000001000000}" name="Code" dataDxfId="64"/>
    <tableColumn id="2" xr3:uid="{00000000-0010-0000-0300-000002000000}" name="Bauperiode" dataDxfId="63"/>
  </tableColumns>
  <tableStyleInfo name="TableStyleLight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wl-luzern.ch/privatkunden/kundencenter/kontakt/" TargetMode="External"/><Relationship Id="rId2" Type="http://schemas.openxmlformats.org/officeDocument/2006/relationships/hyperlink" Target="https://www.ewl-luzern.ch/privatkunden/energie/see-energie/luzern-zentrum/" TargetMode="External"/><Relationship Id="rId1" Type="http://schemas.openxmlformats.org/officeDocument/2006/relationships/hyperlink" Target="https://www.ewl-luzern.ch/privatkunden/energie/fernwaerme/emmen-luzern/"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bwo.admin.ch/bwo/de/home/mietrecht/referenzzinssatz/entwicklung-referenzzinssatz-und-durchschnittszinssatz.html" TargetMode="External"/><Relationship Id="rId2" Type="http://schemas.openxmlformats.org/officeDocument/2006/relationships/hyperlink" Target="https://www.bfs.admin.ch/bfs/de/home/statistiken/preise/landesindex-konsumentenpreise/detailresultate.assetdetail.36453505.html" TargetMode="External"/><Relationship Id="rId1" Type="http://schemas.openxmlformats.org/officeDocument/2006/relationships/hyperlink" Target="https://www.strompreis.elcom.admin.ch/" TargetMode="External"/><Relationship Id="rId6" Type="http://schemas.openxmlformats.org/officeDocument/2006/relationships/printerSettings" Target="../printerSettings/printerSettings3.bin"/><Relationship Id="rId5" Type="http://schemas.openxmlformats.org/officeDocument/2006/relationships/hyperlink" Target="https://uwe.lu.ch/-/media/UWE/Dokumente/Themen/Energie/Foerderprogramm/Foerderbedingungen_Foerderbeitraege.pdf?rev=396129e20de74baf976671d98a672bca" TargetMode="External"/><Relationship Id="rId4" Type="http://schemas.openxmlformats.org/officeDocument/2006/relationships/hyperlink" Target="https://www.ewl-luzern.ch/privatkunden/energie/gas/angebote/"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bafu.admin.ch/bafu/de/home/themen/klima/fachinformationen/klimapolitik/co2-abgabe/erhebung-der-co2-abgabe-auf-brennstoffen.html" TargetMode="External"/><Relationship Id="rId2" Type="http://schemas.openxmlformats.org/officeDocument/2006/relationships/hyperlink" Target="https://www.holzenergie.ch/fileadmin/user_resources/01_Holzenergie/Energieholz_Richtpreise/22_Preisindex_Schnitzel.pdf" TargetMode="External"/><Relationship Id="rId1" Type="http://schemas.openxmlformats.org/officeDocument/2006/relationships/hyperlink" Target="https://www.strompreis.elcom.admin.ch/Map/ShowSwissMap.aspx%20(Preise%20=%20Totalpreise%20von%20Standardprodukt%20/%20ab%202018%20Standartprodukt,%20vorher%20g&#252;nstigstes%20Produkt)"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B1:AC116"/>
  <sheetViews>
    <sheetView showGridLines="0" tabSelected="1" zoomScaleNormal="100" workbookViewId="0">
      <pane xSplit="2" ySplit="7" topLeftCell="C8" activePane="bottomRight" state="frozen"/>
      <selection activeCell="L26" sqref="L26"/>
      <selection pane="topRight" activeCell="L26" sqref="L26"/>
      <selection pane="bottomLeft" activeCell="L26" sqref="L26"/>
      <selection pane="bottomRight" activeCell="C4" sqref="C4"/>
    </sheetView>
  </sheetViews>
  <sheetFormatPr baseColWidth="10" defaultColWidth="10.85546875" defaultRowHeight="12"/>
  <cols>
    <col min="1" max="1" width="0.85546875" style="147" customWidth="1"/>
    <col min="2" max="2" width="5.28515625" style="221" customWidth="1"/>
    <col min="3" max="3" width="38.140625" style="147" customWidth="1"/>
    <col min="4" max="4" width="8.7109375" style="147" customWidth="1"/>
    <col min="5" max="16" width="6" style="147" customWidth="1"/>
    <col min="17" max="17" width="5" style="147" customWidth="1"/>
    <col min="18" max="18" width="6.7109375" style="147" customWidth="1"/>
    <col min="19" max="19" width="14.28515625" style="147" customWidth="1"/>
    <col min="20" max="20" width="16.28515625" style="147" customWidth="1"/>
    <col min="21" max="21" width="15.5703125" style="147" customWidth="1"/>
    <col min="22" max="22" width="8.85546875" style="147" customWidth="1"/>
    <col min="23" max="23" width="10.5703125" style="147" customWidth="1"/>
    <col min="24" max="24" width="42.42578125" style="147" customWidth="1"/>
    <col min="25" max="25" width="4.28515625" style="147" customWidth="1"/>
    <col min="26" max="26" width="10.85546875" style="147"/>
    <col min="27" max="27" width="6.42578125" style="147" customWidth="1"/>
    <col min="28" max="28" width="3.85546875" style="147" customWidth="1"/>
    <col min="29" max="16384" width="10.85546875" style="147"/>
  </cols>
  <sheetData>
    <row r="1" spans="2:29" ht="14.45" customHeight="1"/>
    <row r="2" spans="2:29" ht="14.45" customHeight="1">
      <c r="C2" s="146" t="s">
        <v>770</v>
      </c>
      <c r="O2" s="224" t="s">
        <v>373</v>
      </c>
      <c r="P2" s="224"/>
      <c r="Q2" s="224"/>
      <c r="R2" s="224"/>
      <c r="S2" s="224"/>
      <c r="T2" s="224"/>
      <c r="U2" s="224"/>
      <c r="X2" s="147" t="s">
        <v>337</v>
      </c>
    </row>
    <row r="3" spans="2:29" ht="14.45" customHeight="1">
      <c r="C3" s="146" t="s">
        <v>801</v>
      </c>
      <c r="J3" s="221"/>
      <c r="O3" s="224"/>
      <c r="P3" s="224"/>
      <c r="Q3" s="224"/>
      <c r="R3" s="224"/>
      <c r="S3" s="224"/>
      <c r="T3" s="224"/>
      <c r="U3" s="224"/>
      <c r="W3" s="315"/>
      <c r="X3" s="147" t="s">
        <v>337</v>
      </c>
    </row>
    <row r="4" spans="2:29" ht="14.45" customHeight="1">
      <c r="T4" s="276"/>
      <c r="U4" s="1"/>
      <c r="W4" s="316"/>
      <c r="X4" s="317"/>
    </row>
    <row r="5" spans="2:29" ht="14.45" customHeight="1">
      <c r="B5" s="290"/>
      <c r="C5" s="291" t="s">
        <v>331</v>
      </c>
      <c r="D5" s="294"/>
      <c r="E5" s="292"/>
      <c r="F5" s="292"/>
      <c r="G5" s="303" t="s">
        <v>324</v>
      </c>
      <c r="H5" s="304"/>
      <c r="I5" s="293" t="str">
        <f>'Log-Journal'!E2</f>
        <v>SLU_1.6</v>
      </c>
      <c r="J5" s="294"/>
      <c r="K5" s="292"/>
      <c r="L5" s="304"/>
      <c r="M5" s="356"/>
      <c r="N5" s="431">
        <f>'Log-Journal'!E3</f>
        <v>46433</v>
      </c>
      <c r="O5" s="431"/>
      <c r="P5" s="432"/>
      <c r="Q5" s="295"/>
      <c r="R5" s="147" t="s">
        <v>750</v>
      </c>
      <c r="W5" s="315"/>
    </row>
    <row r="6" spans="2:29" ht="14.45" customHeight="1">
      <c r="B6" s="290"/>
      <c r="C6" s="296" t="s">
        <v>528</v>
      </c>
      <c r="D6" s="452"/>
      <c r="E6" s="453"/>
      <c r="F6" s="453"/>
      <c r="G6" s="453"/>
      <c r="H6" s="453"/>
      <c r="I6" s="453"/>
      <c r="J6" s="453"/>
      <c r="K6" s="453"/>
      <c r="L6" s="453"/>
      <c r="M6" s="453"/>
      <c r="N6" s="453"/>
      <c r="O6" s="453"/>
      <c r="P6" s="454"/>
      <c r="R6" s="147" t="s">
        <v>751</v>
      </c>
      <c r="S6" s="363" t="str">
        <f>HYPERLINK("https://www.stadtluzern.ch/dienstleistungeninformation/31","Webseite der Dienstabteilung Baubewilligungen der Stadt Luzern")</f>
        <v>Webseite der Dienstabteilung Baubewilligungen der Stadt Luzern</v>
      </c>
      <c r="W6" s="147" t="s">
        <v>752</v>
      </c>
    </row>
    <row r="7" spans="2:29" ht="14.45" customHeight="1">
      <c r="B7" s="290"/>
      <c r="C7" s="297" t="s">
        <v>365</v>
      </c>
      <c r="D7" s="448"/>
      <c r="E7" s="449"/>
      <c r="F7" s="449"/>
      <c r="G7" s="449"/>
      <c r="H7" s="449"/>
      <c r="I7" s="449"/>
      <c r="J7" s="449"/>
      <c r="K7" s="449"/>
      <c r="L7" s="449"/>
      <c r="M7" s="449"/>
      <c r="N7" s="449"/>
      <c r="O7" s="449"/>
      <c r="P7" s="450"/>
      <c r="R7" s="147" t="s">
        <v>610</v>
      </c>
      <c r="V7" s="523"/>
      <c r="W7" s="523"/>
      <c r="X7" s="315"/>
    </row>
    <row r="8" spans="2:29" ht="14.45" customHeight="1">
      <c r="B8" s="290"/>
      <c r="C8" s="455" t="s">
        <v>529</v>
      </c>
      <c r="D8" s="433" t="s">
        <v>530</v>
      </c>
      <c r="E8" s="434"/>
      <c r="F8" s="435"/>
      <c r="G8" s="442" t="str">
        <f>IF(D7="","",IF(ISERROR(GWR!C3),"Adresse nicht gefunden",GWR!C3))</f>
        <v/>
      </c>
      <c r="H8" s="443"/>
      <c r="I8" s="443"/>
      <c r="J8" s="433" t="s">
        <v>531</v>
      </c>
      <c r="K8" s="434"/>
      <c r="L8" s="434"/>
      <c r="M8" s="435"/>
      <c r="N8" s="434" t="str">
        <f>IF(D7="","",IF(G8="Adresse nicht gefunden",G8,GWR!B9))</f>
        <v/>
      </c>
      <c r="O8" s="434"/>
      <c r="P8" s="439"/>
      <c r="R8" s="451" t="str">
        <f>IF(ISNUMBER(G8),HYPERLINK("http://map3.geo.admin.ch/?ch.bfs.gebaeude_wohnungs_register="&amp;GWR!C3&amp;"_0&amp;lang=de&amp;topic=ech&amp;zoom=10&amp;crosshair=circle", "Karte anschauen"),"Adresse nicht gefunden")</f>
        <v>Adresse nicht gefunden</v>
      </c>
      <c r="S8" s="451"/>
      <c r="T8" s="290" t="s">
        <v>533</v>
      </c>
      <c r="U8" s="290"/>
      <c r="V8" s="318"/>
      <c r="W8" s="318"/>
      <c r="X8" s="290"/>
      <c r="Y8" s="290"/>
    </row>
    <row r="9" spans="2:29" ht="14.45" customHeight="1">
      <c r="B9" s="290"/>
      <c r="C9" s="456"/>
      <c r="D9" s="436" t="s">
        <v>532</v>
      </c>
      <c r="E9" s="437"/>
      <c r="F9" s="438"/>
      <c r="G9" s="444" t="str">
        <f>IF(D7="","",IF(G8="Adresse nicht gefunden",G8,GWR!B11))</f>
        <v/>
      </c>
      <c r="H9" s="440"/>
      <c r="I9" s="440"/>
      <c r="J9" s="445" t="s">
        <v>732</v>
      </c>
      <c r="K9" s="446"/>
      <c r="L9" s="446"/>
      <c r="M9" s="447"/>
      <c r="N9" s="440" t="str">
        <f>IF(D7="","",IF(G8="Adresse nicht gefunden",G8,GWR!B19))</f>
        <v/>
      </c>
      <c r="O9" s="440"/>
      <c r="P9" s="441"/>
      <c r="R9" s="451" t="str">
        <f>IF(ISNUMBER(G8),HYPERLINK("https://api.geo.admin.ch/rest/services/ech/MapServer/ch.bfs.gebaeude_wohnungs_register/" &amp; GWR!B3 &amp; "/extendedHtmlPopup?lang=de", "GWR Daten anschauen"),"Adresse nicht gefunden")</f>
        <v>Adresse nicht gefunden</v>
      </c>
      <c r="S9" s="451"/>
      <c r="T9" s="147" t="s">
        <v>534</v>
      </c>
      <c r="U9" s="290"/>
      <c r="V9" s="318"/>
      <c r="W9" s="318"/>
      <c r="X9" s="290"/>
      <c r="Y9" s="290"/>
      <c r="AC9" s="221"/>
    </row>
    <row r="10" spans="2:29" ht="14.45" customHeight="1">
      <c r="B10" s="290"/>
      <c r="C10" s="319"/>
      <c r="D10" s="298"/>
      <c r="E10" s="298"/>
      <c r="F10" s="298"/>
      <c r="G10" s="299"/>
      <c r="H10" s="299"/>
      <c r="I10" s="299"/>
      <c r="J10" s="300"/>
      <c r="K10" s="299"/>
      <c r="L10" s="299"/>
      <c r="M10" s="299"/>
      <c r="N10" s="299"/>
      <c r="O10" s="290"/>
      <c r="P10" s="310"/>
      <c r="Q10" s="310"/>
      <c r="AC10" s="221"/>
    </row>
    <row r="11" spans="2:29" ht="14.45" customHeight="1">
      <c r="B11" s="307">
        <v>1</v>
      </c>
      <c r="C11" s="320" t="s">
        <v>0</v>
      </c>
      <c r="D11" s="299"/>
      <c r="E11" s="299"/>
      <c r="F11" s="299"/>
      <c r="G11" s="299"/>
      <c r="H11" s="299"/>
      <c r="I11" s="352" t="str">
        <f>IF(ESW="Nein","Wichtig: Wenn Erdwärmesonden nicht bewilligungsfähig sind, tritt Art. 79 BZR nicht ein. Dieser Heizkostenrechner ist somit für die Bewilligung fossiler Heizsysteme irrelevant. Er kann aber trotzdem zu Informationszwecken genutzt werden.","")</f>
        <v/>
      </c>
      <c r="J11" s="311"/>
      <c r="L11" s="299"/>
      <c r="M11" s="299"/>
      <c r="N11" s="299"/>
      <c r="O11" s="290"/>
      <c r="P11" s="310"/>
      <c r="Q11" s="310"/>
    </row>
    <row r="12" spans="2:29" ht="14.45" customHeight="1">
      <c r="B12" s="221" t="s">
        <v>366</v>
      </c>
      <c r="C12" s="301" t="s">
        <v>402</v>
      </c>
      <c r="D12" s="302"/>
      <c r="E12" s="302"/>
      <c r="F12" s="302"/>
      <c r="G12" s="302"/>
      <c r="H12" s="302"/>
      <c r="I12" s="302"/>
      <c r="J12" s="302"/>
      <c r="K12" s="457"/>
      <c r="L12" s="458"/>
      <c r="M12" s="458"/>
      <c r="N12" s="458"/>
      <c r="O12" s="458"/>
      <c r="P12" s="459"/>
      <c r="R12" s="363" t="str">
        <f>HYPERLINK("https://www.geo.lu.ch/map/erdwaermenutzung","Karte Erdwärmenutzung")</f>
        <v>Karte Erdwärmenutzung</v>
      </c>
      <c r="S12" s="363"/>
      <c r="T12" s="147" t="s">
        <v>617</v>
      </c>
      <c r="Y12" s="326" t="str">
        <f>HYPERLINK("https://uwe.lu.ch/-/media/UWE/Dokumente/Themen/Gewaesser/Erdwaerme_Geothermie/Informationen_Erdwrme.pdf","weiteren Richtlinien zur Erdwärmenutzung")</f>
        <v>weiteren Richtlinien zur Erdwärmenutzung</v>
      </c>
    </row>
    <row r="13" spans="2:29" ht="14.45" customHeight="1">
      <c r="B13" s="221" t="s">
        <v>367</v>
      </c>
      <c r="C13" s="148" t="s">
        <v>1</v>
      </c>
      <c r="D13" s="149"/>
      <c r="E13" s="149"/>
      <c r="F13" s="149"/>
      <c r="G13" s="149"/>
      <c r="H13" s="149"/>
      <c r="I13" s="149"/>
      <c r="J13" s="149"/>
      <c r="K13" s="149"/>
      <c r="L13" s="149"/>
      <c r="M13" s="465"/>
      <c r="N13" s="466"/>
      <c r="O13" s="466"/>
      <c r="P13" s="467"/>
      <c r="R13" s="147" t="s">
        <v>673</v>
      </c>
    </row>
    <row r="14" spans="2:29" ht="14.45" customHeight="1">
      <c r="B14" s="221" t="s">
        <v>369</v>
      </c>
      <c r="C14" s="148" t="s">
        <v>199</v>
      </c>
      <c r="D14" s="149"/>
      <c r="E14" s="149"/>
      <c r="F14" s="149"/>
      <c r="G14" s="149"/>
      <c r="H14" s="149"/>
      <c r="I14" s="149"/>
      <c r="J14" s="149"/>
      <c r="K14" s="149"/>
      <c r="L14" s="149"/>
      <c r="M14" s="424" t="str">
        <f>IF(ISERR(VLOOKUP(M13,Stromverbrauch_ref,2,FALSE))," ",IF(ISNA(VLOOKUP(M13,Stromverbrauch_ref,2,FALSE))," ",VLOOKUP(M13,Stromverbrauch_ref,2,FALSE)))</f>
        <v xml:space="preserve"> </v>
      </c>
      <c r="N14" s="425"/>
      <c r="O14" s="461"/>
      <c r="P14" s="462"/>
      <c r="R14" s="147" t="s">
        <v>674</v>
      </c>
      <c r="AB14" s="326" t="str">
        <f>HYPERLINK("https%3A%2F%2Fwww.elcom.admin.ch%2Fdam%2Felcom%2Fde%2Fdokumente%2F2021%2Fwegleitungzurtarifdeklaration2021fuertarife2022.pdf.download.pdf%2FWegleitung%2520zur%2520Tarifdeklaration%25202021%2520f%25C3%25BCr%2520Tarife.pdf&amp;usg=AOvVaw2-s0UQtl7ztaKBvlDnt5Ov","hier")</f>
        <v>hier</v>
      </c>
      <c r="AC14" s="147" t="s">
        <v>675</v>
      </c>
    </row>
    <row r="15" spans="2:29" ht="14.45" customHeight="1">
      <c r="B15" s="221" t="s">
        <v>370</v>
      </c>
      <c r="C15" s="148" t="s">
        <v>175</v>
      </c>
      <c r="D15" s="149"/>
      <c r="E15" s="149"/>
      <c r="F15" s="149"/>
      <c r="G15" s="149"/>
      <c r="H15" s="149"/>
      <c r="I15" s="149"/>
      <c r="J15" s="149"/>
      <c r="K15" s="468" t="s">
        <v>84</v>
      </c>
      <c r="L15" s="469"/>
      <c r="M15" s="526"/>
      <c r="N15" s="527"/>
      <c r="O15" s="527"/>
      <c r="P15" s="528"/>
      <c r="R15" s="147" t="s">
        <v>704</v>
      </c>
    </row>
    <row r="16" spans="2:29" ht="14.45" customHeight="1">
      <c r="B16" s="221" t="s">
        <v>371</v>
      </c>
      <c r="C16" s="148" t="s">
        <v>777</v>
      </c>
      <c r="D16" s="149"/>
      <c r="I16" s="524" t="str">
        <f>(IF(OR(Wärmeerzeugerleistung=0,Wärmeerzeugerleistung="",EBF=0,EBF="")," ",Wärmeerzeugerleistung/EBF*1000))</f>
        <v xml:space="preserve"> </v>
      </c>
      <c r="J16" s="525"/>
      <c r="K16" s="468" t="s">
        <v>3</v>
      </c>
      <c r="L16" s="469"/>
      <c r="M16" s="529"/>
      <c r="N16" s="530"/>
      <c r="O16" s="530"/>
      <c r="P16" s="531"/>
      <c r="R16" s="147" t="s">
        <v>778</v>
      </c>
      <c r="W16" s="420" t="str">
        <f>HYPERLINK("https://www.bfe.admin.ch/bfe/de/home/news-und-medien/publikationen.exturl.html/aHR0cHM6Ly9wdWJkYi5iZmUuYWRtaW4uY2gvZGUvcHVibGljYX/Rpb24vZG93bmxvYWQvMjc4MQ==.html","Ermittlung der Wärmeerzeugerleistung von EnergieSchweiz")</f>
        <v>Ermittlung der Wärmeerzeugerleistung von EnergieSchweiz</v>
      </c>
    </row>
    <row r="17" spans="2:26" ht="14.45" customHeight="1">
      <c r="B17" s="221" t="s">
        <v>372</v>
      </c>
      <c r="C17" s="148" t="s">
        <v>301</v>
      </c>
      <c r="D17" s="149"/>
      <c r="E17" s="149"/>
      <c r="F17" s="149"/>
      <c r="G17" s="149"/>
      <c r="H17" s="149"/>
      <c r="I17" s="149"/>
      <c r="J17" s="149"/>
      <c r="K17" s="468" t="s">
        <v>300</v>
      </c>
      <c r="L17" s="469"/>
      <c r="M17" s="468" t="str">
        <f>IF(ISERROR(VLOOKUP($M$13,Warmwasserbedarf_ref,3,FALSE))," ",(VLOOKUP($M$13,Warmwasserbedarf_ref,3,FALSE)))</f>
        <v xml:space="preserve"> </v>
      </c>
      <c r="N17" s="532"/>
      <c r="O17" s="532"/>
      <c r="P17" s="533"/>
    </row>
    <row r="18" spans="2:26" ht="14.45" customHeight="1">
      <c r="B18" s="221" t="s">
        <v>368</v>
      </c>
      <c r="C18" s="148" t="s">
        <v>740</v>
      </c>
      <c r="D18" s="149"/>
      <c r="E18" s="149"/>
      <c r="F18" s="149"/>
      <c r="G18" s="149"/>
      <c r="H18" s="149"/>
      <c r="I18" s="149"/>
      <c r="J18" s="149"/>
      <c r="K18" s="468" t="s">
        <v>5</v>
      </c>
      <c r="L18" s="469"/>
      <c r="M18" s="424" t="str">
        <f>IF(ISERROR(IF(M13="02 Wohnen Einfamilienhaus",EBF*(VLOOKUP(N9,Berechnungsgrundlagen!B18:D31,2,FALSE)+Warmwasserbedarf),EBF*(VLOOKUP(N9,Berechnungsgrundlagen!B18:D31,3,FALSE)+Warmwasserbedarf)))," ",IF(M13="02 Wohnen Einfamilienhaus",EBF*(VLOOKUP(N9,Berechnungsgrundlagen!B18:D31,2,FALSE)+Warmwasserbedarf),EBF*(VLOOKUP(N9,Berechnungsgrundlagen!B18:D31,3,FALSE)+Warmwasserbedarf)))</f>
        <v xml:space="preserve"> </v>
      </c>
      <c r="N18" s="425"/>
      <c r="O18" s="461"/>
      <c r="P18" s="462"/>
      <c r="R18" s="147" t="s">
        <v>626</v>
      </c>
    </row>
    <row r="19" spans="2:26" ht="14.45" customHeight="1">
      <c r="B19" s="221" t="s">
        <v>362</v>
      </c>
      <c r="C19" s="159" t="s">
        <v>401</v>
      </c>
      <c r="D19" s="213"/>
      <c r="E19" s="213"/>
      <c r="F19" s="213"/>
      <c r="G19" s="213"/>
      <c r="H19" s="213"/>
      <c r="I19" s="213"/>
      <c r="J19" s="213"/>
      <c r="K19" s="473"/>
      <c r="L19" s="474"/>
      <c r="M19" s="474"/>
      <c r="N19" s="474"/>
      <c r="O19" s="474"/>
      <c r="P19" s="475"/>
      <c r="R19" s="147" t="s">
        <v>613</v>
      </c>
    </row>
    <row r="20" spans="2:26" ht="14.45" customHeight="1">
      <c r="B20" s="221" t="s">
        <v>363</v>
      </c>
      <c r="C20" s="148" t="s">
        <v>350</v>
      </c>
      <c r="D20" s="149"/>
      <c r="E20" s="149"/>
      <c r="F20" s="149"/>
      <c r="G20" s="149"/>
      <c r="H20" s="149"/>
      <c r="I20" s="149"/>
      <c r="J20" s="149"/>
      <c r="K20" s="473"/>
      <c r="L20" s="474"/>
      <c r="M20" s="474"/>
      <c r="N20" s="474"/>
      <c r="O20" s="474"/>
      <c r="P20" s="475"/>
      <c r="R20" s="147" t="str">
        <f>IF(OR(GEAK_Klasse="A",GEAK_Klasse="B",GEAK_Klasse="C",GEAK_Klasse="D"),"Falls eine fossile Heizung eingebaut werden soll, ist eine GEAK Energieklasse von D oder höher durch einen Gebäudeenergieausweis zu belegen.","")</f>
        <v/>
      </c>
    </row>
    <row r="21" spans="2:26" ht="14.45" customHeight="1">
      <c r="B21" s="221" t="s">
        <v>361</v>
      </c>
      <c r="C21" s="159" t="s">
        <v>422</v>
      </c>
      <c r="D21" s="322"/>
      <c r="E21" s="322"/>
      <c r="F21" s="322"/>
      <c r="G21" s="322"/>
      <c r="H21" s="322"/>
      <c r="I21" s="322"/>
      <c r="J21" s="322"/>
      <c r="K21" s="476"/>
      <c r="L21" s="477"/>
      <c r="M21" s="477"/>
      <c r="N21" s="477"/>
      <c r="O21" s="477"/>
      <c r="P21" s="478"/>
      <c r="R21" s="147" t="s">
        <v>614</v>
      </c>
      <c r="U21" s="326" t="s">
        <v>408</v>
      </c>
      <c r="V21" s="147" t="s">
        <v>539</v>
      </c>
      <c r="W21" s="326" t="s">
        <v>418</v>
      </c>
      <c r="X21" s="147" t="s">
        <v>540</v>
      </c>
      <c r="Y21" s="326" t="s">
        <v>541</v>
      </c>
      <c r="Z21" s="147" t="s">
        <v>542</v>
      </c>
    </row>
    <row r="22" spans="2:26" ht="14.45" customHeight="1">
      <c r="B22" s="221" t="s">
        <v>364</v>
      </c>
      <c r="C22" s="323" t="s">
        <v>592</v>
      </c>
      <c r="D22" s="150"/>
      <c r="E22" s="150"/>
      <c r="F22" s="150"/>
      <c r="G22" s="150"/>
      <c r="H22" s="150"/>
      <c r="I22" s="150"/>
      <c r="J22" s="150"/>
      <c r="K22" s="479"/>
      <c r="L22" s="480"/>
      <c r="M22" s="480"/>
      <c r="N22" s="480"/>
      <c r="O22" s="480"/>
      <c r="P22" s="481"/>
    </row>
    <row r="23" spans="2:26" ht="14.45" customHeight="1">
      <c r="L23" s="324"/>
      <c r="M23" s="324"/>
      <c r="N23" s="324"/>
      <c r="O23" s="324"/>
      <c r="P23" s="324"/>
      <c r="R23" s="381" t="str">
        <f>IF(I25="Biogas","Biogas als erneuerbares System ist hier nur informativ abgebildet. Für Art. 79 Abs. 2 lit. c BZR müssen Holz-Pellets trotzdem auf ihre technische Machbarkeit und Wirtschaftlichkeit überprüft werden.","")</f>
        <v/>
      </c>
    </row>
    <row r="24" spans="2:26" ht="14.45" customHeight="1">
      <c r="C24" s="291" t="s">
        <v>706</v>
      </c>
      <c r="D24" s="314"/>
      <c r="E24" s="471" t="s">
        <v>707</v>
      </c>
      <c r="F24" s="463"/>
      <c r="G24" s="463"/>
      <c r="H24" s="463"/>
      <c r="I24" s="463"/>
      <c r="J24" s="463"/>
      <c r="K24" s="463"/>
      <c r="L24" s="472"/>
      <c r="M24" s="463" t="s">
        <v>708</v>
      </c>
      <c r="N24" s="463"/>
      <c r="O24" s="463"/>
      <c r="P24" s="464"/>
      <c r="R24" s="147" t="s">
        <v>676</v>
      </c>
    </row>
    <row r="25" spans="2:26" ht="14.45" customHeight="1">
      <c r="B25" s="222"/>
      <c r="C25" s="482" t="s">
        <v>20</v>
      </c>
      <c r="D25" s="483"/>
      <c r="E25" s="430"/>
      <c r="F25" s="430"/>
      <c r="G25" s="430"/>
      <c r="H25" s="430"/>
      <c r="I25" s="430"/>
      <c r="J25" s="430"/>
      <c r="K25" s="470" t="str">
        <f>IF(Wärmenetz_möglich="Ja","Wärmenetz","")</f>
        <v/>
      </c>
      <c r="L25" s="470"/>
      <c r="M25" s="460" t="str">
        <f>"Oelheizung"</f>
        <v>Oelheizung</v>
      </c>
      <c r="N25" s="460"/>
      <c r="O25" s="430"/>
      <c r="P25" s="430"/>
      <c r="R25" s="147" t="s">
        <v>705</v>
      </c>
      <c r="U25" s="146"/>
    </row>
    <row r="26" spans="2:26" ht="14.45" customHeight="1">
      <c r="B26" s="222" t="s">
        <v>536</v>
      </c>
      <c r="C26" s="312" t="s">
        <v>32</v>
      </c>
      <c r="D26" s="313"/>
      <c r="E26" s="214"/>
      <c r="F26" s="214"/>
      <c r="G26" s="308"/>
      <c r="H26" s="308"/>
      <c r="I26" s="405"/>
      <c r="J26" s="308"/>
      <c r="K26" s="308"/>
      <c r="L26" s="308"/>
      <c r="M26" s="214"/>
      <c r="N26" s="214"/>
      <c r="O26" s="214"/>
      <c r="P26" s="309"/>
      <c r="U26" s="146"/>
    </row>
    <row r="27" spans="2:26" ht="14.45" customHeight="1">
      <c r="B27" s="221">
        <v>2.1</v>
      </c>
      <c r="C27" s="152" t="s">
        <v>758</v>
      </c>
      <c r="D27" s="153" t="s">
        <v>22</v>
      </c>
      <c r="E27" s="30" t="str">
        <f>IF(ISERROR(VLOOKUP(System_1,Nutzungsgrad_ref,3,FALSE))," ",VLOOKUP(System_1,Nutzungsgrad_ref,3,FALSE))</f>
        <v xml:space="preserve"> </v>
      </c>
      <c r="F27" s="162"/>
      <c r="G27" s="30" t="str">
        <f>IF(ISERROR(VLOOKUP(System_2,Nutzungsgrad_ref,3,FALSE))," ",VLOOKUP(System_2,Nutzungsgrad_ref,3,FALSE))</f>
        <v xml:space="preserve"> </v>
      </c>
      <c r="H27" s="162"/>
      <c r="I27" s="30" t="str">
        <f>IF(ISERROR(VLOOKUP(System_3,Nutzungsgrad_ref,3,FALSE))," ",VLOOKUP(System_3,Nutzungsgrad_ref,3,FALSE))</f>
        <v xml:space="preserve"> </v>
      </c>
      <c r="J27" s="162"/>
      <c r="K27" s="30" t="str">
        <f>IF(ISERROR(VLOOKUP(System_4,Nutzungsgrad_ref,3,FALSE))," ",VLOOKUP(System_4,Nutzungsgrad_ref,3,FALSE))</f>
        <v xml:space="preserve"> </v>
      </c>
      <c r="L27" s="162"/>
      <c r="M27" s="30">
        <f>IF(ISERROR(VLOOKUP(System_5,Nutzungsgrad_ref,3,FALSE))," ",VLOOKUP(System_5,Nutzungsgrad_ref,3,FALSE))</f>
        <v>0.85</v>
      </c>
      <c r="N27" s="162"/>
      <c r="O27" s="30" t="str">
        <f>IF(ISERROR(VLOOKUP(System_6,Nutzungsgrad_ref,3,FALSE))," ",VLOOKUP(System_6,Nutzungsgrad_ref,3,FALSE))</f>
        <v xml:space="preserve"> </v>
      </c>
      <c r="P27" s="163"/>
      <c r="R27" s="147" t="s">
        <v>759</v>
      </c>
    </row>
    <row r="28" spans="2:26" ht="14.45" customHeight="1">
      <c r="B28" s="221">
        <v>2.2000000000000002</v>
      </c>
      <c r="C28" s="154" t="s">
        <v>23</v>
      </c>
      <c r="D28" s="153" t="s">
        <v>5</v>
      </c>
      <c r="E28" s="424" t="str">
        <f>IF(ISERROR(IF(NEB_manuell&gt;0,NEB_manuell,NEB)/IF(F27&gt;0,F27,E27))," ",(IF(NEB_manuell&gt;0,NEB_manuell,NEB)/IF(F27&gt;0,F27,E27)))</f>
        <v xml:space="preserve"> </v>
      </c>
      <c r="F28" s="425"/>
      <c r="G28" s="424" t="str">
        <f>IF(ISERROR(IF(NEB_manuell&gt;0,NEB_manuell,NEB)/IF(H27&gt;0,H27,G27))," ",(IF(NEB_manuell&gt;0,NEB_manuell,NEB)/IF(H27&gt;0,H27,G27)))</f>
        <v xml:space="preserve"> </v>
      </c>
      <c r="H28" s="425"/>
      <c r="I28" s="424" t="str">
        <f>IF(ISERROR(IF(NEB_manuell&gt;0,NEB_manuell,NEB)/IF(J27&gt;0,J27,I27))," ",(IF(NEB_manuell&gt;0,NEB_manuell,NEB)/IF(J27&gt;0,J27,I27)))</f>
        <v xml:space="preserve"> </v>
      </c>
      <c r="J28" s="425"/>
      <c r="K28" s="424" t="str">
        <f>IF(ISERROR(IF(NEB_manuell&gt;0,NEB_manuell,NEB)/IF(L27&gt;0,L27,K27))," ",(IF(NEB_manuell&gt;0,NEB_manuell,NEB)/IF(L27&gt;0,L27,K27)))</f>
        <v xml:space="preserve"> </v>
      </c>
      <c r="L28" s="425"/>
      <c r="M28" s="424" t="str">
        <f>IF(ISERROR(IF(NEB_manuell&gt;0,NEB_manuell,NEB)/IF(N27&gt;0,N27,M27))," ",(IF(NEB_manuell&gt;0,NEB_manuell,NEB)/IF(N27&gt;0,N27,M27)))</f>
        <v xml:space="preserve"> </v>
      </c>
      <c r="N28" s="425"/>
      <c r="O28" s="424" t="str">
        <f>IF(ISERROR(IF(NEB_manuell&gt;0,NEB_manuell,NEB)/IF(P27&gt;0,P27,O27))," ",(IF(NEB_manuell&gt;0,NEB_manuell,NEB)/IF(P27&gt;0,P27,O27)))</f>
        <v xml:space="preserve"> </v>
      </c>
      <c r="P28" s="491"/>
    </row>
    <row r="29" spans="2:26" ht="14.45" customHeight="1">
      <c r="B29" s="221" t="s">
        <v>619</v>
      </c>
      <c r="C29" s="154" t="s">
        <v>622</v>
      </c>
      <c r="D29" s="153" t="s">
        <v>638</v>
      </c>
      <c r="E29" s="426" t="s">
        <v>22</v>
      </c>
      <c r="F29" s="427"/>
      <c r="G29" s="426" t="s">
        <v>22</v>
      </c>
      <c r="H29" s="427"/>
      <c r="I29" s="426" t="s">
        <v>22</v>
      </c>
      <c r="J29" s="427"/>
      <c r="K29" s="426" t="s">
        <v>22</v>
      </c>
      <c r="L29" s="427"/>
      <c r="M29" s="31" t="str">
        <f>IF(M27=" ","",IF(OR(M34="",M34=0,NEB=0,NOT(ISNUMBER(NEB))),"0",M28/10000))</f>
        <v>0</v>
      </c>
      <c r="N29" s="165"/>
      <c r="O29" s="31" t="str">
        <f>IF(O27=" ","",IF(OR(O34="",O34=0,NEB=0,NOT(ISNUMBER(NEB))),"0",O28/10000))</f>
        <v/>
      </c>
      <c r="P29" s="164"/>
      <c r="R29" s="147" t="s">
        <v>623</v>
      </c>
    </row>
    <row r="30" spans="2:26" ht="14.45" customHeight="1">
      <c r="B30" s="221" t="s">
        <v>620</v>
      </c>
      <c r="C30" s="152" t="s">
        <v>68</v>
      </c>
      <c r="D30" s="153" t="s">
        <v>639</v>
      </c>
      <c r="E30" s="428" t="str">
        <f>IF(ISERROR(VLOOKUP(System_1,Energiepreise_ref,5,FALSE))," ",VLOOKUP(System_1,Energiepreise_ref,5,FALSE))</f>
        <v xml:space="preserve"> </v>
      </c>
      <c r="F30" s="429"/>
      <c r="G30" s="428" t="str">
        <f>IF(ISERROR(VLOOKUP(System_2,Energiepreise_ref,5,FALSE))," ",VLOOKUP(System_2,Energiepreise_ref,5,FALSE))</f>
        <v xml:space="preserve"> </v>
      </c>
      <c r="H30" s="429"/>
      <c r="I30" s="428" t="str">
        <f>IF(I25="Biogas",IF(ISERROR(VLOOKUP(System_3,Energiepreise_ref,5,FALSE))," ",VLOOKUP(System_3,Energiepreise_ref,5,FALSE)+Berechnungsgrundlagen!C98),IF(ISERROR(VLOOKUP(System_3,Energiepreise_ref,5,FALSE))," ",VLOOKUP(System_3,Energiepreise_ref,5,FALSE)))</f>
        <v xml:space="preserve"> </v>
      </c>
      <c r="J30" s="429"/>
      <c r="K30" s="428" t="str">
        <f>IF(ISERROR(VLOOKUP(System_4,Energiepreise_ref,5,FALSE))," ",VLOOKUP(System_4,Energiepreise_ref,5,FALSE))</f>
        <v xml:space="preserve"> </v>
      </c>
      <c r="L30" s="429"/>
      <c r="M30" s="428">
        <f>IF(ISERROR(VLOOKUP(System_5,Energiepreise_ref,5,FALSE))," ",VLOOKUP(System_5,Energiepreise_ref,5,FALSE))</f>
        <v>11.304526606342623</v>
      </c>
      <c r="N30" s="429"/>
      <c r="O30" s="428" t="str">
        <f>IF(ISERROR(VLOOKUP(System_6,Energiepreise_ref,5,FALSE))," ",VLOOKUP(System_6,Energiepreise_ref,5,FALSE))</f>
        <v xml:space="preserve"> </v>
      </c>
      <c r="P30" s="490"/>
    </row>
    <row r="31" spans="2:26" ht="14.45" customHeight="1">
      <c r="B31" s="221" t="s">
        <v>621</v>
      </c>
      <c r="C31" s="155" t="s">
        <v>24</v>
      </c>
      <c r="D31" s="153" t="s">
        <v>25</v>
      </c>
      <c r="E31" s="424" t="str">
        <f>IF(ISERROR(SUM(E28*IF(E30&gt;0,E30,F30))/100)," ",(SUM(E28*IF(E30&gt;0,E30,F30))/100))</f>
        <v xml:space="preserve"> </v>
      </c>
      <c r="F31" s="425"/>
      <c r="G31" s="424" t="str">
        <f>IF(ISERROR(SUM(G28*G30)/100)," ",(SUM(G28*G30)/100))</f>
        <v xml:space="preserve"> </v>
      </c>
      <c r="H31" s="425"/>
      <c r="I31" s="424" t="str">
        <f>IF(ISERROR(SUM(I28*I30)/100)," ",(SUM(I28*I30)/100))</f>
        <v xml:space="preserve"> </v>
      </c>
      <c r="J31" s="425"/>
      <c r="K31" s="424" t="str">
        <f>IF(ISERROR(SUM(K28*K30)/100)," ",(SUM(K28*K30)/100))</f>
        <v xml:space="preserve"> </v>
      </c>
      <c r="L31" s="425"/>
      <c r="M31" s="424" t="str">
        <f>IF(ISERROR((M28-IF(N29="",M29*1000,N29*1000))*M30/100)," ",(M28-IF(N29="",M29*1000,N29*1000))*M30/100)</f>
        <v xml:space="preserve"> </v>
      </c>
      <c r="N31" s="425"/>
      <c r="O31" s="424" t="str">
        <f>IF(ISERROR((O28-IF(P29="",O29*1000,P29*1000))*O30/100)," ",(O28-IF(P29="",O29*1000,P29*1000))*O30/100)</f>
        <v xml:space="preserve"> </v>
      </c>
      <c r="P31" s="491"/>
    </row>
    <row r="32" spans="2:26" ht="14.45" customHeight="1">
      <c r="B32" s="222">
        <v>3</v>
      </c>
      <c r="C32" s="487" t="s">
        <v>77</v>
      </c>
      <c r="D32" s="488"/>
      <c r="E32" s="488"/>
      <c r="F32" s="488"/>
      <c r="G32" s="488"/>
      <c r="H32" s="488"/>
      <c r="I32" s="488"/>
      <c r="J32" s="488"/>
      <c r="K32" s="488"/>
      <c r="L32" s="488"/>
      <c r="M32" s="488"/>
      <c r="N32" s="488"/>
      <c r="O32" s="488"/>
      <c r="P32" s="489"/>
      <c r="R32" s="381" t="str">
        <f>IF(OR(N33&lt;&gt;"",P33&lt;&gt;""),"Bei eigener Eingabe der Investitionskosten für das bestehende Heizsystem müssen zu den anfallenden Kosten auch der bereits amortisierte Anteil derjenigen Installationen dazugerechnet werden, die (noch) nicht ersetzt werden müssen/sollen.","")</f>
        <v/>
      </c>
    </row>
    <row r="33" spans="2:18" ht="14.45" customHeight="1">
      <c r="B33" s="221">
        <v>3.1</v>
      </c>
      <c r="C33" s="148" t="s">
        <v>680</v>
      </c>
      <c r="D33" s="153" t="s">
        <v>173</v>
      </c>
      <c r="E33" s="36" t="str">
        <f>IF(E27=" ","",(VLOOKUP(System_1,Investition_ref,2,FALSE)+VLOOKUP(System_1,Investition_ref,3,FALSE)+VLOOKUP(System_1,Investition_ref,4,FALSE))/1000)</f>
        <v/>
      </c>
      <c r="F33" s="220"/>
      <c r="G33" s="36" t="str">
        <f>IF(G27=" ","",(VLOOKUP(System_2,Investition_ref,2,FALSE)+VLOOKUP(System_2,Investition_ref,3,FALSE)+VLOOKUP(System_2,Investition_ref,4,FALSE))/1000)</f>
        <v/>
      </c>
      <c r="H33" s="220"/>
      <c r="I33" s="36" t="str">
        <f>IF(I27=" ","",(VLOOKUP(System_3,Investition_ref,2,FALSE)+VLOOKUP(System_3,Investition_ref,3,FALSE)+VLOOKUP(System_3,Investition_ref,4,FALSE))/1000)</f>
        <v/>
      </c>
      <c r="J33" s="220"/>
      <c r="K33" s="36" t="str">
        <f>IF(K27=" ","",(VLOOKUP(System_4,Investition_ref,2,FALSE)+VLOOKUP(System_4,Investition_ref,3,FALSE)+VLOOKUP(System_4,Investition_ref,4,FALSE))/1000)</f>
        <v/>
      </c>
      <c r="L33" s="220"/>
      <c r="M33" s="36">
        <f>IF(M27=" ","",(VLOOKUP(System_5,Investition_ref,2,FALSE)+VLOOKUP(System_5,Investition_ref,3,FALSE)+VLOOKUP(System_5,Investition_ref,4,FALSE))/1000)</f>
        <v>47.55</v>
      </c>
      <c r="N33" s="220"/>
      <c r="O33" s="36" t="str">
        <f>IF(O27=" ","",(VLOOKUP(System_6,Investition_ref,2,FALSE)+VLOOKUP(System_6,Investition_ref,3,FALSE)+VLOOKUP(System_6,Investition_ref,4,FALSE))/1000)</f>
        <v/>
      </c>
      <c r="P33" s="164"/>
      <c r="R33" s="147" t="s">
        <v>678</v>
      </c>
    </row>
    <row r="34" spans="2:18" ht="14.45" customHeight="1">
      <c r="B34" s="221" t="s">
        <v>679</v>
      </c>
      <c r="C34" s="148" t="s">
        <v>773</v>
      </c>
      <c r="D34" s="153" t="s">
        <v>173</v>
      </c>
      <c r="E34" s="426" t="s">
        <v>22</v>
      </c>
      <c r="F34" s="427"/>
      <c r="G34" s="426" t="s">
        <v>22</v>
      </c>
      <c r="H34" s="427"/>
      <c r="I34" s="426" t="s">
        <v>22</v>
      </c>
      <c r="J34" s="427"/>
      <c r="K34" s="426" t="s">
        <v>22</v>
      </c>
      <c r="L34" s="427"/>
      <c r="M34" s="473"/>
      <c r="N34" s="474"/>
      <c r="O34" s="465"/>
      <c r="P34" s="467"/>
      <c r="R34" s="147" t="str">
        <f>IF(OR(Minergie="Ja",GEAK_Klasse="A",GEAK_Klasse="B",GEAK_Klasse="C",GEAK_Klasse="D"),"Kann leer gelassen werden (§13 Abs. 2 KEnG ist durch Minergie-Standard Zertifizierung oder GEAK-Energieklasse D oder besser erfüllt).","Kosten um lit. a oder d von §13 Abs. 2 KEnG zu erfüllen.")</f>
        <v>Kosten um lit. a oder d von §13 Abs. 2 KEnG zu erfüllen.</v>
      </c>
    </row>
    <row r="35" spans="2:18" ht="14.45" customHeight="1">
      <c r="B35" s="222">
        <v>4</v>
      </c>
      <c r="C35" s="506" t="s">
        <v>78</v>
      </c>
      <c r="D35" s="507"/>
      <c r="E35" s="507"/>
      <c r="F35" s="507"/>
      <c r="G35" s="507"/>
      <c r="H35" s="507"/>
      <c r="I35" s="507"/>
      <c r="J35" s="507"/>
      <c r="K35" s="507"/>
      <c r="L35" s="507"/>
      <c r="M35" s="507"/>
      <c r="N35" s="507"/>
      <c r="O35" s="507"/>
      <c r="P35" s="508"/>
    </row>
    <row r="36" spans="2:18" ht="14.45" customHeight="1">
      <c r="B36" s="221">
        <v>4.0999999999999996</v>
      </c>
      <c r="C36" s="148" t="s">
        <v>607</v>
      </c>
      <c r="D36" s="153" t="s">
        <v>173</v>
      </c>
      <c r="E36" s="36" t="str">
        <f>IF(E27=" ","",VLOOKUP(System_1,Investition_ref,5,FALSE)/1000)</f>
        <v/>
      </c>
      <c r="F36" s="220"/>
      <c r="G36" s="36" t="str">
        <f>IF(G27=" ","",VLOOKUP(System_2,Investition_ref,5,FALSE)/1000)</f>
        <v/>
      </c>
      <c r="H36" s="220"/>
      <c r="I36" s="36" t="str">
        <f>IF(I27=" ","",VLOOKUP(System_3,Investition_ref,5,FALSE)/1000)</f>
        <v/>
      </c>
      <c r="J36" s="220"/>
      <c r="K36" s="36" t="str">
        <f>IF(K27=" ","",VLOOKUP(System_4,Investition_ref,5,FALSE)/1000)</f>
        <v/>
      </c>
      <c r="L36" s="220"/>
      <c r="M36" s="36">
        <f>IF(M27=" ","",VLOOKUP(System_5,Investition_ref,5,FALSE)/1000)</f>
        <v>0</v>
      </c>
      <c r="N36" s="220"/>
      <c r="O36" s="36" t="str">
        <f>IF(O27=" ","",VLOOKUP(System_6,Investition_ref,5,FALSE)/1000)</f>
        <v/>
      </c>
      <c r="P36" s="164"/>
      <c r="R36" s="147" t="s">
        <v>625</v>
      </c>
    </row>
    <row r="37" spans="2:18" ht="14.45" customHeight="1">
      <c r="B37" s="306">
        <v>4.2</v>
      </c>
      <c r="C37" s="148" t="s">
        <v>535</v>
      </c>
      <c r="D37" s="153" t="s">
        <v>173</v>
      </c>
      <c r="E37" s="36" t="str">
        <f>IF(System_1="","",0)</f>
        <v/>
      </c>
      <c r="F37" s="220"/>
      <c r="G37" s="36" t="str">
        <f>IF(System_2="","",0)</f>
        <v/>
      </c>
      <c r="H37" s="220"/>
      <c r="I37" s="36" t="str">
        <f>IF(System_3="","",0)</f>
        <v/>
      </c>
      <c r="J37" s="220"/>
      <c r="K37" s="36" t="str">
        <f>IF(System_4="","",0)</f>
        <v/>
      </c>
      <c r="L37" s="220"/>
      <c r="M37" s="36">
        <f>IF(System_5="","",0)</f>
        <v>0</v>
      </c>
      <c r="N37" s="321"/>
      <c r="O37" s="36" t="str">
        <f>IF(System_6="","",0)</f>
        <v/>
      </c>
      <c r="P37" s="305"/>
      <c r="R37" s="147" t="s">
        <v>612</v>
      </c>
    </row>
    <row r="38" spans="2:18" ht="14.45" customHeight="1">
      <c r="B38" s="221" t="s">
        <v>661</v>
      </c>
      <c r="C38" s="359" t="s">
        <v>641</v>
      </c>
      <c r="D38" s="360"/>
      <c r="E38" s="361"/>
      <c r="F38" s="361"/>
      <c r="G38" s="361"/>
      <c r="H38" s="361"/>
      <c r="I38" s="361"/>
      <c r="J38" s="361"/>
      <c r="K38" s="361"/>
      <c r="L38" s="361"/>
      <c r="M38" s="361"/>
      <c r="N38" s="361"/>
      <c r="O38" s="361"/>
      <c r="P38" s="362"/>
    </row>
    <row r="39" spans="2:18" ht="14.45" customHeight="1">
      <c r="B39" s="221" t="s">
        <v>662</v>
      </c>
      <c r="C39" s="148" t="s">
        <v>347</v>
      </c>
      <c r="D39" s="153" t="s">
        <v>173</v>
      </c>
      <c r="E39" s="36" t="str">
        <f>IF(ISERROR(VLOOKUP(System_1,Förderbeiträge,6,FALSE))," ",VLOOKUP(System_1,Förderbeiträge,6,FALSE)/1000)</f>
        <v xml:space="preserve"> </v>
      </c>
      <c r="F39" s="220"/>
      <c r="G39" s="36" t="str">
        <f>IF(ISERROR(VLOOKUP(System_2,Förderbeiträge,6,FALSE))," ",VLOOKUP(System_2,Förderbeiträge,6,FALSE)/1000)</f>
        <v xml:space="preserve"> </v>
      </c>
      <c r="H39" s="220"/>
      <c r="I39" s="36" t="str">
        <f>IF(I25="Biogas",0,IF(ISERROR(VLOOKUP(System_3,Förderbeiträge,6,FALSE))," ",VLOOKUP(System_3,Förderbeiträge,6,FALSE)/1000))</f>
        <v xml:space="preserve"> </v>
      </c>
      <c r="J39" s="220"/>
      <c r="K39" s="36" t="str">
        <f>IF(ISERROR(VLOOKUP(System_4,Förderbeiträge,6,FALSE))," ",VLOOKUP(System_4,Förderbeiträge,6,FALSE)/1000)</f>
        <v xml:space="preserve"> </v>
      </c>
      <c r="L39" s="220"/>
      <c r="M39" s="424">
        <f>IF(System_5="","",0)</f>
        <v>0</v>
      </c>
      <c r="N39" s="425"/>
      <c r="O39" s="424" t="str">
        <f>IF(System_6="","",0)</f>
        <v/>
      </c>
      <c r="P39" s="491"/>
      <c r="R39" s="147" t="s">
        <v>608</v>
      </c>
    </row>
    <row r="40" spans="2:18" ht="14.45" customHeight="1">
      <c r="B40" s="221" t="s">
        <v>663</v>
      </c>
      <c r="C40" s="148" t="s">
        <v>346</v>
      </c>
      <c r="D40" s="153" t="s">
        <v>173</v>
      </c>
      <c r="E40" s="36" t="str">
        <f>IF(ISERROR(VLOOKUP(System_1,Förderbeiträge_SLU,6,FALSE))," ",VLOOKUP(System_1,Förderbeiträge_SLU,6,FALSE)/1000)</f>
        <v xml:space="preserve"> </v>
      </c>
      <c r="F40" s="220"/>
      <c r="G40" s="36" t="str">
        <f>IF(ISERROR(VLOOKUP(System_2,Förderbeiträge_SLU,6,FALSE))," ",VLOOKUP(System_2,Förderbeiträge_SLU,6,FALSE)/1000)</f>
        <v xml:space="preserve"> </v>
      </c>
      <c r="H40" s="220"/>
      <c r="I40" s="36" t="str">
        <f>IF(I25="Biogas",0,IF(ISERROR(VLOOKUP(System_3,Förderbeiträge_SLU,6,FALSE))," ",VLOOKUP(System_3,Förderbeiträge_SLU,6,FALSE)/1000))</f>
        <v xml:space="preserve"> </v>
      </c>
      <c r="J40" s="220"/>
      <c r="K40" s="36" t="str">
        <f>IF(ISERROR(VLOOKUP(System_4,Förderbeiträge_SLU,6,FALSE))," ",VLOOKUP(System_4,Förderbeiträge_SLU,6,FALSE)/1000)</f>
        <v xml:space="preserve"> </v>
      </c>
      <c r="L40" s="220"/>
      <c r="M40" s="424">
        <f>IF(System_5="","",0)</f>
        <v>0</v>
      </c>
      <c r="N40" s="425"/>
      <c r="O40" s="424" t="str">
        <f>IF(System_6="","",0)</f>
        <v/>
      </c>
      <c r="P40" s="491"/>
      <c r="R40" s="147" t="s">
        <v>609</v>
      </c>
    </row>
    <row r="41" spans="2:18" ht="14.45" customHeight="1">
      <c r="B41" s="221" t="s">
        <v>664</v>
      </c>
      <c r="C41" s="148" t="s">
        <v>640</v>
      </c>
      <c r="D41" s="153" t="s">
        <v>173</v>
      </c>
      <c r="E41" s="492"/>
      <c r="F41" s="493"/>
      <c r="G41" s="492"/>
      <c r="H41" s="493"/>
      <c r="I41" s="492"/>
      <c r="J41" s="493"/>
      <c r="K41" s="492"/>
      <c r="L41" s="493"/>
      <c r="M41" s="424">
        <f>IF(System_3=" "," ",0)</f>
        <v>0</v>
      </c>
      <c r="N41" s="425"/>
      <c r="O41" s="424" t="str">
        <f>IF(System_6="","",0)</f>
        <v/>
      </c>
      <c r="P41" s="491"/>
      <c r="R41" s="147" t="s">
        <v>659</v>
      </c>
    </row>
    <row r="42" spans="2:18" ht="14.45" customHeight="1">
      <c r="B42" s="221" t="s">
        <v>665</v>
      </c>
      <c r="C42" s="156" t="s">
        <v>660</v>
      </c>
      <c r="D42" s="153" t="s">
        <v>25</v>
      </c>
      <c r="E42" s="424" t="str">
        <f>IF(ISERROR(IF(F33="",E33,F33)*1000+IF(OR(E34="-",E34=""),0,E34)*1000+IF(F36="",E36,F36)*1000+IF(F37="",E37,F37)*1000-IF(E41="",0,E41)*1000-IF(F39="",E39,F39)*1000-IF(F40="",E40,F40))*1000,"",IF(F33="",E33,F33)*1000+IF(OR(E34="-",E34=""),0,E34)*1000+IF(F36="",E36,F36)*1000+IF(F37="",E37,F37)*1000-IF(E41="",0,E41)*1000-IF(F39="",E39,F39)*1000-IF(F40="",E40,F40)*1000)</f>
        <v/>
      </c>
      <c r="F42" s="425"/>
      <c r="G42" s="424" t="str">
        <f>IF(ISERROR(IF(H33="",G33,H33)*1000+IF(OR(G34="-",G34=""),0,G34)*1000+IF(H36="",G36,H36)*1000+IF(H37="",G37,H37)*1000-IF(G41="",0,G41)*1000-IF(H39="",G39,H39)*1000-IF(H40="",G40,H40)*1000),"",IF(H33="",G33,H33)*1000+IF(OR(G34="-",G34=""),0,G34)*1000+IF(H36="",G36,H36)*1000+IF(H37="",G37,H37)*1000-IF(G41="",0,G41)*1000-IF(H39="",G39,H39)*1000-IF(H40="",G40,H40)*1000)</f>
        <v/>
      </c>
      <c r="H42" s="425"/>
      <c r="I42" s="424" t="str">
        <f>IF(ISERROR(IF(J33="",I33,J33)*1000+IF(OR(I34="-",I34=""),0,I34)*1000+IF(J36="",I36,J36)*1000+IF(J37="",I37,J37)*1000-IF(I41="",0,I41)*1000-IF(J39="",I39,J39)*1000-IF(J40="",I40,J40)*1000),"",IF(J33="",I33,J33)*1000+IF(OR(I34="-",I34=""),0,I34)*1000+IF(J36="",I36,J36)*1000+IF(J37="",I37,J37)*1000-IF(I41="",0,I41)*1000-IF(J39="",I39,J39)*1000-IF(J40="",I40,J40)*1000)</f>
        <v/>
      </c>
      <c r="J42" s="425"/>
      <c r="K42" s="424" t="str">
        <f>IF(ISERROR(IF(L33="",K33,L33)*1000+IF(OR(K34="-",K34=""),0,K34)*1000+IF(L36="",K36,L36)*1000+IF(L37="",K37,L37)*1000-IF(K41="",0,K41)*1000-IF(L39="",K39,L39)*1000-IF(L40="",K40,L40)*1000),"",IF(L33="",K33,L33)*1000+IF(OR(K34="-",K34=""),0,K34)*1000+IF(L36="",K36,L36)*1000+IF(L37="",K37,L37)*1000-IF(K41="",0,K41)*1000-IF(L39="",K39,L39)*1000-IF(L40="",K40,L40)*1000)</f>
        <v/>
      </c>
      <c r="L42" s="425"/>
      <c r="M42" s="424">
        <f>IF(ISERROR(IF(N33="",M33,N33)*1000+IF(OR(M34="-",M34=""),0,M34)*1000+IF(N36="",M36,N36)*1000+IF(N37="",M37,N37)*1000-IF(M41="",0,M41)*1000-IF(N39="",M39,N39)-IF(N40="",M40,N40)),"",IF(N33="",M33,N33)*1000+IF(OR(M34="-",M34=""),0,M34)*1000+IF(N36="",M36,N36)*1000+IF(N37="",M37,N37)*1000-IF(M41="",0,M41)*1000-IF(N39="",M39,N39)-IF(N40="",M40,N40))</f>
        <v>47550</v>
      </c>
      <c r="N42" s="425"/>
      <c r="O42" s="424" t="str">
        <f>IF(ISERROR(IF(P33="",O33,P33)*1000+IF(OR(O34="-",O34=""),0,O34)*1000+IF(P36="",O36,P36)*1000+IF(P37="",O37,P37)*1000-IF(O41="",0,O41)-IF(P39="",O39,P39)-IF(P40="",O40,P40)),"",IF(P33="",O33,P33)*1000+IF(OR(O34="-",O34=""),0,O34)*1000+IF(P36="",O36,P36)*1000+IF(P37="",O37,P37)*1000-IF(O41="",0,O41)-IF(P39="",O39,P39)-IF(P40="",O40,P40))</f>
        <v/>
      </c>
      <c r="P42" s="491"/>
    </row>
    <row r="43" spans="2:18" ht="14.45" customHeight="1">
      <c r="B43" s="222" t="s">
        <v>642</v>
      </c>
      <c r="C43" s="506" t="s">
        <v>174</v>
      </c>
      <c r="D43" s="507"/>
      <c r="E43" s="507"/>
      <c r="F43" s="507"/>
      <c r="G43" s="507"/>
      <c r="H43" s="507"/>
      <c r="I43" s="507"/>
      <c r="J43" s="507"/>
      <c r="K43" s="507"/>
      <c r="L43" s="507"/>
      <c r="M43" s="507"/>
      <c r="N43" s="507"/>
      <c r="O43" s="507"/>
      <c r="P43" s="508"/>
    </row>
    <row r="44" spans="2:18" ht="14.45" customHeight="1">
      <c r="B44" s="221" t="s">
        <v>656</v>
      </c>
      <c r="C44" s="148" t="s">
        <v>88</v>
      </c>
      <c r="D44" s="153" t="s">
        <v>85</v>
      </c>
      <c r="E44" s="31" t="str">
        <f>IF(ISERROR(VLOOKUP(System_1,Raumbedarf_ref,2,FALSE)),"",ROUND(VLOOKUP(System_1,Raumbedarf_ref,2,FALSE),0))</f>
        <v/>
      </c>
      <c r="F44" s="165"/>
      <c r="G44" s="31" t="str">
        <f>IF(ISERROR(VLOOKUP(System_2,Raumbedarf_ref,2,FALSE)),"",ROUND(VLOOKUP(System_2,Raumbedarf_ref,2,FALSE),0))</f>
        <v/>
      </c>
      <c r="H44" s="165"/>
      <c r="I44" s="31" t="str">
        <f>IF(ISERROR(VLOOKUP(System_3,Raumbedarf_ref,2,FALSE)),"",ROUND(VLOOKUP(System_3,Raumbedarf_ref,2,FALSE),0))</f>
        <v/>
      </c>
      <c r="J44" s="165"/>
      <c r="K44" s="31" t="str">
        <f>IF(ISERROR(VLOOKUP(System_4,Raumbedarf_ref,2,FALSE)),"",ROUND(VLOOKUP(System_4,Raumbedarf_ref,2,FALSE),0))</f>
        <v/>
      </c>
      <c r="L44" s="165"/>
      <c r="M44" s="31" t="str">
        <f>IF(ISERROR(VLOOKUP(System_5,Raumbedarf_ref,2,FALSE)),"",ROUND(VLOOKUP(System_5,Raumbedarf_ref,2,FALSE),0))</f>
        <v/>
      </c>
      <c r="N44" s="165"/>
      <c r="O44" s="31" t="str">
        <f>IF(ISERROR(VLOOKUP(System_6,Raumbedarf_ref,2,FALSE)),"",ROUND(VLOOKUP(System_6,Raumbedarf_ref,2,FALSE),0))</f>
        <v/>
      </c>
      <c r="P44" s="354"/>
      <c r="R44" s="147" t="s">
        <v>624</v>
      </c>
    </row>
    <row r="45" spans="2:18" ht="14.45" customHeight="1">
      <c r="B45" s="221" t="s">
        <v>657</v>
      </c>
      <c r="C45" s="148" t="s">
        <v>26</v>
      </c>
      <c r="D45" s="153" t="s">
        <v>86</v>
      </c>
      <c r="E45" s="424" t="str">
        <f>IF(E33=""," ",Spez_Raumkosten)</f>
        <v xml:space="preserve"> </v>
      </c>
      <c r="F45" s="425"/>
      <c r="G45" s="424" t="str">
        <f>IF(G33=""," ",Spez_Raumkosten)</f>
        <v xml:space="preserve"> </v>
      </c>
      <c r="H45" s="425"/>
      <c r="I45" s="424" t="str">
        <f>IF(I33=""," ",Spez_Raumkosten)</f>
        <v xml:space="preserve"> </v>
      </c>
      <c r="J45" s="425"/>
      <c r="K45" s="424" t="str">
        <f>IF(K33=""," ",Spez_Raumkosten)</f>
        <v xml:space="preserve"> </v>
      </c>
      <c r="L45" s="425"/>
      <c r="M45" s="424">
        <f>IF(M33=""," ",Spez_Raumkosten)</f>
        <v>300</v>
      </c>
      <c r="N45" s="425"/>
      <c r="O45" s="424" t="str">
        <f>IF(O33=""," ",Spez_Raumkosten)</f>
        <v xml:space="preserve"> </v>
      </c>
      <c r="P45" s="491"/>
    </row>
    <row r="46" spans="2:18" ht="14.45" customHeight="1">
      <c r="B46" s="221" t="s">
        <v>658</v>
      </c>
      <c r="C46" s="156" t="s">
        <v>27</v>
      </c>
      <c r="D46" s="153" t="s">
        <v>25</v>
      </c>
      <c r="E46" s="424" t="str">
        <f>IF(ISERROR(IF(F44&lt;&gt;"",F44*E45,E44*E45))," ",IF(F44&lt;&gt;"",F44*E45,E44*E45))</f>
        <v xml:space="preserve"> </v>
      </c>
      <c r="F46" s="425"/>
      <c r="G46" s="424" t="str">
        <f>IF(ISERROR(IF(H44&lt;&gt;"",H44*G45,G44*G45))," ",IF(H44&lt;&gt;"",H44*G45,G44*G45))</f>
        <v xml:space="preserve"> </v>
      </c>
      <c r="H46" s="425"/>
      <c r="I46" s="424" t="str">
        <f t="shared" ref="I46" si="0">IF(ISERROR(IF(J44&lt;&gt;"",J44*I45,I44*I45))," ",IF(J44&lt;&gt;"",J44*I45,I44*I45))</f>
        <v xml:space="preserve"> </v>
      </c>
      <c r="J46" s="425"/>
      <c r="K46" s="424" t="str">
        <f t="shared" ref="K46" si="1">IF(ISERROR(IF(L44&lt;&gt;"",L44*K45,K44*K45))," ",IF(L44&lt;&gt;"",L44*K45,K44*K45))</f>
        <v xml:space="preserve"> </v>
      </c>
      <c r="L46" s="425"/>
      <c r="M46" s="424" t="str">
        <f t="shared" ref="M46" si="2">IF(ISERROR(IF(N44&lt;&gt;"",N44*M45,M44*M45))," ",IF(N44&lt;&gt;"",N44*M45,M44*M45))</f>
        <v xml:space="preserve"> </v>
      </c>
      <c r="N46" s="425"/>
      <c r="O46" s="424" t="str">
        <f t="shared" ref="O46" si="3">IF(ISERROR(IF(P44&lt;&gt;"",P44*O45,O44*O45))," ",IF(P44&lt;&gt;"",P44*O45,O44*O45))</f>
        <v xml:space="preserve"> </v>
      </c>
      <c r="P46" s="491"/>
    </row>
    <row r="47" spans="2:18" ht="14.45" customHeight="1">
      <c r="B47" s="222" t="s">
        <v>643</v>
      </c>
      <c r="C47" s="506" t="s">
        <v>90</v>
      </c>
      <c r="D47" s="507"/>
      <c r="E47" s="507"/>
      <c r="F47" s="507"/>
      <c r="G47" s="507"/>
      <c r="H47" s="507"/>
      <c r="I47" s="507"/>
      <c r="J47" s="507"/>
      <c r="K47" s="507"/>
      <c r="L47" s="507"/>
      <c r="M47" s="507"/>
      <c r="N47" s="507"/>
      <c r="O47" s="507"/>
      <c r="P47" s="508"/>
    </row>
    <row r="48" spans="2:18" ht="14.45" customHeight="1">
      <c r="B48" s="221" t="s">
        <v>644</v>
      </c>
      <c r="C48" s="148" t="s">
        <v>91</v>
      </c>
      <c r="D48" s="153" t="s">
        <v>25</v>
      </c>
      <c r="E48" s="31" t="str">
        <f>IF(ISERROR(Berechnungsgrundlagen!C151/100*VLOOKUP(System_1,Wartung_Unterhalt_ref,6,FALSE))," ",Berechnungsgrundlagen!C151/100*VLOOKUP(System_1,Wartung_Unterhalt_ref,6,FALSE))</f>
        <v xml:space="preserve"> </v>
      </c>
      <c r="F48" s="165"/>
      <c r="G48" s="31" t="str">
        <f>IF(ISERROR(Berechnungsgrundlagen!D151/100*VLOOKUP(System_2,Wartung_Unterhalt_ref,6,FALSE))," ",Berechnungsgrundlagen!D151/100*VLOOKUP(System_2,Wartung_Unterhalt_ref,6,FALSE))</f>
        <v xml:space="preserve"> </v>
      </c>
      <c r="H48" s="165"/>
      <c r="I48" s="31" t="str">
        <f>IF(ISERROR(Berechnungsgrundlagen!E151/100*VLOOKUP(System_3,Wartung_Unterhalt_ref,6,FALSE))," ",Berechnungsgrundlagen!E151/100*VLOOKUP(System_3,Wartung_Unterhalt_ref,6,FALSE))</f>
        <v xml:space="preserve"> </v>
      </c>
      <c r="J48" s="165"/>
      <c r="K48" s="31" t="str">
        <f>IF(ISERROR(Berechnungsgrundlagen!F151/100*VLOOKUP(K25,Wartung_Unterhalt_ref,6,FALSE))," ",Berechnungsgrundlagen!F151/100*VLOOKUP(K25,Wartung_Unterhalt_ref,6,FALSE))</f>
        <v xml:space="preserve"> </v>
      </c>
      <c r="L48" s="165"/>
      <c r="M48" s="31">
        <f>IF(ISERROR(Berechnungsgrundlagen!G151/100*VLOOKUP(M25,Wartung_Unterhalt_ref,6,FALSE))," ",Berechnungsgrundlagen!G151/100*VLOOKUP(M25,Wartung_Unterhalt_ref,6,FALSE))</f>
        <v>951</v>
      </c>
      <c r="N48" s="165"/>
      <c r="O48" s="31" t="str">
        <f>IF(ISERROR(Berechnungsgrundlagen!H151/100*VLOOKUP(O25,Wartung_Unterhalt_ref,6,FALSE))," ",Berechnungsgrundlagen!H151/100*VLOOKUP(O25,Wartung_Unterhalt_ref,6,FALSE))</f>
        <v xml:space="preserve"> </v>
      </c>
      <c r="P48" s="166"/>
      <c r="R48" s="147" t="s">
        <v>624</v>
      </c>
    </row>
    <row r="49" spans="2:21" ht="14.45" customHeight="1">
      <c r="B49" s="222" t="s">
        <v>645</v>
      </c>
      <c r="C49" s="506" t="s">
        <v>29</v>
      </c>
      <c r="D49" s="507"/>
      <c r="E49" s="507"/>
      <c r="F49" s="507"/>
      <c r="G49" s="507"/>
      <c r="H49" s="507"/>
      <c r="I49" s="507"/>
      <c r="J49" s="507"/>
      <c r="K49" s="507"/>
      <c r="L49" s="507"/>
      <c r="M49" s="507"/>
      <c r="N49" s="507"/>
      <c r="O49" s="507"/>
      <c r="P49" s="508"/>
    </row>
    <row r="50" spans="2:21" ht="14.45" customHeight="1">
      <c r="B50" s="221" t="s">
        <v>646</v>
      </c>
      <c r="C50" s="148" t="s">
        <v>30</v>
      </c>
      <c r="D50" s="153" t="s">
        <v>31</v>
      </c>
      <c r="E50" s="428" t="str">
        <f>IF(E33=""," ",Berechnungsgrundlagen!$C$136*100)</f>
        <v xml:space="preserve"> </v>
      </c>
      <c r="F50" s="429"/>
      <c r="G50" s="428" t="str">
        <f>IF(G33=""," ",Berechnungsgrundlagen!$C$136*100)</f>
        <v xml:space="preserve"> </v>
      </c>
      <c r="H50" s="429"/>
      <c r="I50" s="428" t="str">
        <f>IF(I33=""," ",Berechnungsgrundlagen!$C$136*100)</f>
        <v xml:space="preserve"> </v>
      </c>
      <c r="J50" s="429"/>
      <c r="K50" s="428" t="str">
        <f>IF(K33=""," ",Berechnungsgrundlagen!$C$136*100)</f>
        <v xml:space="preserve"> </v>
      </c>
      <c r="L50" s="429"/>
      <c r="M50" s="428">
        <f>IF(M33=""," ",Berechnungsgrundlagen!$C$136*100)</f>
        <v>1.25</v>
      </c>
      <c r="N50" s="429"/>
      <c r="O50" s="428" t="str">
        <f>IF(O33=""," ",Berechnungsgrundlagen!$C$136*100)</f>
        <v xml:space="preserve"> </v>
      </c>
      <c r="P50" s="490"/>
    </row>
    <row r="51" spans="2:21" ht="14.45" customHeight="1">
      <c r="B51" s="222" t="s">
        <v>647</v>
      </c>
      <c r="C51" s="506" t="s">
        <v>89</v>
      </c>
      <c r="D51" s="507"/>
      <c r="E51" s="507"/>
      <c r="F51" s="507"/>
      <c r="G51" s="507"/>
      <c r="H51" s="507"/>
      <c r="I51" s="507"/>
      <c r="J51" s="507"/>
      <c r="K51" s="507"/>
      <c r="L51" s="507"/>
      <c r="M51" s="507"/>
      <c r="N51" s="507"/>
      <c r="O51" s="507"/>
      <c r="P51" s="508"/>
    </row>
    <row r="52" spans="2:21" ht="14.45" customHeight="1">
      <c r="B52" s="221" t="s">
        <v>648</v>
      </c>
      <c r="C52" s="148" t="s">
        <v>32</v>
      </c>
      <c r="D52" s="153" t="s">
        <v>25</v>
      </c>
      <c r="E52" s="424" t="str">
        <f>IF(E33=0," ",IF(ISERROR(SUM(E31*Berechnungsgrundlagen!$C$144))," ",(SUM(E31*Berechnungsgrundlagen!$C$144))))</f>
        <v xml:space="preserve"> </v>
      </c>
      <c r="F52" s="425"/>
      <c r="G52" s="424" t="str">
        <f>IF(G33=0," ",IF(ISERROR(SUM(G31*Berechnungsgrundlagen!$C$144))," ",(SUM(G31*Berechnungsgrundlagen!$C$144))))</f>
        <v xml:space="preserve"> </v>
      </c>
      <c r="H52" s="425"/>
      <c r="I52" s="424" t="str">
        <f>IF(I33=0," ",IF(ISERROR(SUM(I31*Berechnungsgrundlagen!$C$144))," ",(SUM(I31*Berechnungsgrundlagen!$C$144))))</f>
        <v xml:space="preserve"> </v>
      </c>
      <c r="J52" s="425"/>
      <c r="K52" s="424" t="str">
        <f>IF(K33=0," ",IF(ISERROR(SUM(K31*Berechnungsgrundlagen!$C$144))," ",(SUM(K31*Berechnungsgrundlagen!$C$144))))</f>
        <v xml:space="preserve"> </v>
      </c>
      <c r="L52" s="425"/>
      <c r="M52" s="424" t="str">
        <f>IF(M33=0," ",IF(ISERROR(SUM(M31*Berechnungsgrundlagen!$C$144))," ",(SUM(M31*Berechnungsgrundlagen!$C$144))))</f>
        <v xml:space="preserve"> </v>
      </c>
      <c r="N52" s="425"/>
      <c r="O52" s="424" t="str">
        <f>IF(O33=0," ",IF(ISERROR(SUM(O31*Berechnungsgrundlagen!$C$144))," ",(SUM(O31*Berechnungsgrundlagen!$C$144))))</f>
        <v xml:space="preserve"> </v>
      </c>
      <c r="P52" s="491"/>
    </row>
    <row r="53" spans="2:21" ht="14.45" customHeight="1">
      <c r="B53" s="221" t="s">
        <v>649</v>
      </c>
      <c r="C53" s="148" t="s">
        <v>28</v>
      </c>
      <c r="D53" s="153" t="s">
        <v>25</v>
      </c>
      <c r="E53" s="424" t="str">
        <f>IF(ISERROR(IF(F48&gt;0,F48,E48)*Berechnungsgrundlagen!$C$148)," ",IF(F48&gt;0,F48,E48)*Berechnungsgrundlagen!$C$148)</f>
        <v xml:space="preserve"> </v>
      </c>
      <c r="F53" s="425"/>
      <c r="G53" s="424" t="str">
        <f>IF(ISERROR(IF(H48&gt;0,H48,G48)*Berechnungsgrundlagen!$C$148)," ",IF(H48&gt;0,H48,G48)*Berechnungsgrundlagen!$C$148)</f>
        <v xml:space="preserve"> </v>
      </c>
      <c r="H53" s="425"/>
      <c r="I53" s="424" t="str">
        <f>IF(ISERROR(IF(J48&gt;0,J48,I48)*Berechnungsgrundlagen!$C$148)," ",IF(J48&gt;0,J48,I48)*Berechnungsgrundlagen!$C$148)</f>
        <v xml:space="preserve"> </v>
      </c>
      <c r="J53" s="425"/>
      <c r="K53" s="424" t="str">
        <f>IF(ISERROR(IF(L48&gt;0,L48,K48)*Berechnungsgrundlagen!$C$148)," ",IF(L48&gt;0,L48,K48)*Berechnungsgrundlagen!$C$148)</f>
        <v xml:space="preserve"> </v>
      </c>
      <c r="L53" s="425"/>
      <c r="M53" s="424">
        <f>IF(ISERROR(IF(N48&gt;0,N48,M48)*Berechnungsgrundlagen!$C$148)," ",IF(N48&gt;0,N48,M48)*Berechnungsgrundlagen!$C$148)</f>
        <v>1097.9672756419932</v>
      </c>
      <c r="N53" s="425"/>
      <c r="O53" s="424" t="str">
        <f>IF(ISERROR(IF(P48&gt;0,P48,O48)*Berechnungsgrundlagen!$C$148)," ",IF(P48&gt;0,P48,O48)*Berechnungsgrundlagen!$C$148)</f>
        <v xml:space="preserve"> </v>
      </c>
      <c r="P53" s="491"/>
    </row>
    <row r="54" spans="2:21" ht="14.45" customHeight="1">
      <c r="B54" s="221" t="s">
        <v>650</v>
      </c>
      <c r="C54" s="148" t="s">
        <v>33</v>
      </c>
      <c r="D54" s="153" t="s">
        <v>25</v>
      </c>
      <c r="E54" s="424" t="str">
        <f>IF(Berechnungsgrundlagen!C158=0," ",Berechnungsgrundlagen!C158)</f>
        <v xml:space="preserve"> </v>
      </c>
      <c r="F54" s="425"/>
      <c r="G54" s="424" t="str">
        <f>IF(Berechnungsgrundlagen!D158=0," ",Berechnungsgrundlagen!D158)</f>
        <v xml:space="preserve"> </v>
      </c>
      <c r="H54" s="425"/>
      <c r="I54" s="424" t="str">
        <f>IF(Berechnungsgrundlagen!E158=0," ",Berechnungsgrundlagen!E158)</f>
        <v xml:space="preserve"> </v>
      </c>
      <c r="J54" s="425"/>
      <c r="K54" s="424" t="str">
        <f>IF(Berechnungsgrundlagen!F158=0," ",Berechnungsgrundlagen!F158)</f>
        <v xml:space="preserve"> </v>
      </c>
      <c r="L54" s="425"/>
      <c r="M54" s="424">
        <f>IF(Berechnungsgrundlagen!G158=0," ",Berechnungsgrundlagen!G158)</f>
        <v>2701.8095269922987</v>
      </c>
      <c r="N54" s="425"/>
      <c r="O54" s="424" t="str">
        <f>IF(Berechnungsgrundlagen!H158=0," ",Berechnungsgrundlagen!H158)</f>
        <v xml:space="preserve"> </v>
      </c>
      <c r="P54" s="491"/>
    </row>
    <row r="55" spans="2:21" ht="14.45" customHeight="1">
      <c r="B55" s="221" t="s">
        <v>651</v>
      </c>
      <c r="C55" s="157" t="s">
        <v>34</v>
      </c>
      <c r="D55" s="158" t="s">
        <v>25</v>
      </c>
      <c r="E55" s="500" t="str">
        <f>IF(ISERROR(SUM(E52:E54))," ",IF(SUM(E52:E54)=0," ",SUM(E52:E54)))</f>
        <v xml:space="preserve"> </v>
      </c>
      <c r="F55" s="501"/>
      <c r="G55" s="500" t="str">
        <f>IF(ISERROR(SUM(G52:G54))," ",IF(SUM(G52:G54)=0," ",SUM(G52:G54)))</f>
        <v xml:space="preserve"> </v>
      </c>
      <c r="H55" s="501"/>
      <c r="I55" s="500" t="str">
        <f>IF(ISERROR(SUM(I52:I54))," ",IF(SUM(I52:I54)=0," ",SUM(I52:I54)))</f>
        <v xml:space="preserve"> </v>
      </c>
      <c r="J55" s="501"/>
      <c r="K55" s="500" t="str">
        <f>IF(ISERROR(SUM(K52:K54))," ",IF(SUM(K52:K54)=0," ",SUM(K52:K54)))</f>
        <v xml:space="preserve"> </v>
      </c>
      <c r="L55" s="501"/>
      <c r="M55" s="500">
        <f>IF(ISERROR(SUM(M52:M54))," ",IF(SUM(M52:M54)=0," ",SUM(M52:M54)))</f>
        <v>3799.7768026342919</v>
      </c>
      <c r="N55" s="501"/>
      <c r="O55" s="500" t="str">
        <f>IF(ISERROR(SUM(O52:O54))," ",IF(SUM(O52:O54)=0," ",SUM(O52:O54)))</f>
        <v xml:space="preserve"> </v>
      </c>
      <c r="P55" s="514"/>
    </row>
    <row r="56" spans="2:21" ht="14.45" customHeight="1">
      <c r="D56" s="214"/>
      <c r="E56" s="214"/>
      <c r="F56" s="214"/>
      <c r="G56" s="214"/>
      <c r="H56" s="214"/>
      <c r="I56" s="214"/>
      <c r="J56" s="214"/>
      <c r="K56" s="214"/>
      <c r="L56" s="214"/>
      <c r="M56" s="214"/>
      <c r="N56" s="214"/>
      <c r="O56" s="214"/>
      <c r="P56" s="151"/>
    </row>
    <row r="57" spans="2:21" ht="14.45" customHeight="1">
      <c r="B57" s="222" t="s">
        <v>652</v>
      </c>
      <c r="C57" s="482" t="s">
        <v>35</v>
      </c>
      <c r="D57" s="515"/>
      <c r="E57" s="515"/>
      <c r="F57" s="515"/>
      <c r="G57" s="515"/>
      <c r="H57" s="515"/>
      <c r="I57" s="515"/>
      <c r="J57" s="515"/>
      <c r="K57" s="515"/>
      <c r="L57" s="515"/>
      <c r="M57" s="515"/>
      <c r="N57" s="515"/>
      <c r="O57" s="515"/>
      <c r="P57" s="483"/>
    </row>
    <row r="58" spans="2:21" ht="14.45" customHeight="1">
      <c r="B58" s="221" t="s">
        <v>653</v>
      </c>
      <c r="C58" s="159" t="s">
        <v>36</v>
      </c>
      <c r="D58" s="160" t="s">
        <v>639</v>
      </c>
      <c r="E58" s="502" t="str">
        <f>IF(ISERROR(E55/NEB*100),"",E55/NEB*100)</f>
        <v/>
      </c>
      <c r="F58" s="503"/>
      <c r="G58" s="502" t="str">
        <f>IF(ISERROR(G55/NEB*100),"",G55/NEB*100)</f>
        <v/>
      </c>
      <c r="H58" s="503"/>
      <c r="I58" s="502" t="str">
        <f>IF(ISERROR(I55/NEB*100),"",I55/NEB*100)</f>
        <v/>
      </c>
      <c r="J58" s="503"/>
      <c r="K58" s="502" t="str">
        <f>IF(ISERROR(K55/NEB*100),"",K55/NEB*100)</f>
        <v/>
      </c>
      <c r="L58" s="503"/>
      <c r="M58" s="502" t="str">
        <f>IF(ISERROR(M55/NEB*100),"",M55/NEB*100)</f>
        <v/>
      </c>
      <c r="N58" s="503"/>
      <c r="O58" s="516" t="str">
        <f>IF(ISERROR(O55/NEB*100),"",O55/NEB*100)</f>
        <v/>
      </c>
      <c r="P58" s="517"/>
    </row>
    <row r="59" spans="2:21" ht="14.45" customHeight="1">
      <c r="B59" s="221" t="s">
        <v>654</v>
      </c>
      <c r="C59" s="148" t="s">
        <v>37</v>
      </c>
      <c r="D59" s="153" t="s">
        <v>31</v>
      </c>
      <c r="E59" s="504" t="str">
        <f t="shared" ref="E59" si="4">IF(ISERROR(IF($M$59=100%,E55/$M$55,E55/$O$55))," ",IF($M$59=100%,E55/$M$55,E55/$O$55))</f>
        <v xml:space="preserve"> </v>
      </c>
      <c r="F59" s="505"/>
      <c r="G59" s="504" t="str">
        <f t="shared" ref="G59" si="5">IF(ISERROR(IF($M$59=100%,G55/$M$55,G55/$O$55))," ",IF($M$59=100%,G55/$M$55,G55/$O$55))</f>
        <v xml:space="preserve"> </v>
      </c>
      <c r="H59" s="505"/>
      <c r="I59" s="504" t="str">
        <f t="shared" ref="I59" si="6">IF(ISERROR(IF($M$59=100%,I55/$M$55,I55/$O$55))," ",IF($M$59=100%,I55/$M$55,I55/$O$55))</f>
        <v xml:space="preserve"> </v>
      </c>
      <c r="J59" s="505"/>
      <c r="K59" s="504" t="str">
        <f>IF(ISERROR(IF($M$59=100%,K55/$M$55,K55/$O$55))," ",IF($M$59=100%,K55/$M$55,K55/$O$55))</f>
        <v xml:space="preserve"> </v>
      </c>
      <c r="L59" s="505"/>
      <c r="M59" s="504">
        <f>IF(M42="","",IF(M42=0," ",IF(OR(O25=0,M42=0),1,IF(AND(O55&lt;M55,O42=0),1,IF(AND(M55&gt;O55,O42&gt;0),M55/O55,1)))))</f>
        <v>1</v>
      </c>
      <c r="N59" s="505"/>
      <c r="O59" s="504" t="str">
        <f>IF(ISERROR(IF(O25=0," ",IF(O42=0," ",IF(OR(M42=0),1,IF(AND(O55&gt;M55,43&gt;0),O55/M55,1)))))," ",IF(O25=0," ",IF(43=0," ",IF(OR(M42=0),1,IF(AND(O55&gt;M55,O42&gt;0),O55/M55,1)))))</f>
        <v xml:space="preserve"> </v>
      </c>
      <c r="P59" s="518"/>
    </row>
    <row r="60" spans="2:21" ht="14.45" customHeight="1">
      <c r="B60" s="221" t="s">
        <v>655</v>
      </c>
      <c r="C60" s="520" t="s">
        <v>38</v>
      </c>
      <c r="D60" s="521"/>
      <c r="E60" s="521"/>
      <c r="F60" s="521"/>
      <c r="G60" s="521"/>
      <c r="H60" s="521"/>
      <c r="I60" s="521"/>
      <c r="J60" s="521"/>
      <c r="K60" s="521"/>
      <c r="L60" s="522"/>
      <c r="M60" s="512" t="str">
        <f>IF(OR(M59="",ESW="Nein"),"",IF(OR(E59&lt;=120%,G59&lt;=120%,I59&lt;=120%,K59&lt;=120%),"NEIN",IF(AND(K59&gt;120%,E59&gt;120%),"JA","NEIN")))</f>
        <v>JA</v>
      </c>
      <c r="N60" s="519"/>
      <c r="O60" s="512" t="str">
        <f>IF(OR(O59=" ",ESW="Nein")," ",IF(OR(E59&lt;=120%,G59&lt;=120%,I59&lt;=120%,K59&lt;=120%),"NEIN",IF(AND(K59&gt;120%,I59&gt;120%,E59&gt;120%),"JA","NEIN")))</f>
        <v xml:space="preserve"> </v>
      </c>
      <c r="P60" s="513"/>
      <c r="R60" s="147" t="s">
        <v>611</v>
      </c>
    </row>
    <row r="61" spans="2:21" ht="14.45" customHeight="1"/>
    <row r="62" spans="2:21" ht="14.45" customHeight="1">
      <c r="C62" s="146" t="s">
        <v>210</v>
      </c>
      <c r="D62" s="146" t="s">
        <v>212</v>
      </c>
      <c r="K62" s="146"/>
      <c r="M62" s="146"/>
      <c r="N62" s="146"/>
    </row>
    <row r="63" spans="2:21" ht="14.45" customHeight="1">
      <c r="D63" s="215"/>
      <c r="E63" s="215"/>
      <c r="F63" s="215"/>
      <c r="G63" s="215"/>
      <c r="H63" s="215"/>
      <c r="I63" s="215"/>
      <c r="J63" s="215"/>
      <c r="K63" s="215"/>
      <c r="L63" s="215"/>
      <c r="M63" s="215"/>
      <c r="N63" s="215"/>
      <c r="O63" s="215"/>
      <c r="P63" s="215"/>
      <c r="U63" s="161"/>
    </row>
    <row r="64" spans="2:21" ht="14.45" customHeight="1">
      <c r="C64" s="147" t="s">
        <v>211</v>
      </c>
      <c r="D64" s="216"/>
      <c r="E64" s="216"/>
      <c r="F64" s="216"/>
      <c r="G64" s="216"/>
      <c r="H64" s="216"/>
      <c r="I64" s="216"/>
      <c r="J64" s="215"/>
      <c r="K64" s="215"/>
      <c r="L64" s="215"/>
      <c r="M64" s="215"/>
      <c r="N64" s="215"/>
      <c r="O64" s="215"/>
      <c r="P64" s="215"/>
    </row>
    <row r="65" spans="2:16" ht="14.45" customHeight="1">
      <c r="D65" s="215"/>
      <c r="E65" s="215"/>
      <c r="F65" s="215"/>
      <c r="G65" s="215"/>
      <c r="H65" s="215"/>
      <c r="I65" s="215"/>
      <c r="J65" s="215"/>
      <c r="K65" s="215"/>
      <c r="L65" s="215"/>
      <c r="M65" s="215"/>
      <c r="N65" s="215"/>
      <c r="O65" s="215"/>
      <c r="P65" s="215"/>
    </row>
    <row r="66" spans="2:16" ht="14.45" customHeight="1">
      <c r="C66" s="147" t="s">
        <v>792</v>
      </c>
      <c r="D66" s="216"/>
      <c r="E66" s="216"/>
      <c r="F66" s="216"/>
      <c r="G66" s="216"/>
      <c r="H66" s="216"/>
      <c r="I66" s="216"/>
      <c r="J66" s="215"/>
      <c r="K66" s="215"/>
      <c r="L66" s="215"/>
      <c r="M66" s="215"/>
      <c r="N66" s="215"/>
      <c r="O66" s="215"/>
      <c r="P66" s="215"/>
    </row>
    <row r="67" spans="2:16" ht="14.45" customHeight="1">
      <c r="D67" s="217"/>
      <c r="E67" s="217"/>
      <c r="F67" s="217"/>
      <c r="G67" s="217"/>
      <c r="H67" s="217"/>
      <c r="I67" s="217"/>
      <c r="J67" s="215"/>
      <c r="K67" s="215"/>
      <c r="L67" s="215"/>
      <c r="M67" s="215"/>
      <c r="N67" s="215"/>
      <c r="O67" s="215"/>
      <c r="P67" s="215"/>
    </row>
    <row r="68" spans="2:16" ht="14.45" customHeight="1"/>
    <row r="69" spans="2:16" ht="14.45" customHeight="1">
      <c r="C69" s="218">
        <f ca="1">TODAY()</f>
        <v>46196</v>
      </c>
    </row>
    <row r="70" spans="2:16" ht="14.45" customHeight="1"/>
    <row r="71" spans="2:16" s="219" customFormat="1" ht="14.45" customHeight="1">
      <c r="B71" s="223"/>
      <c r="C71" s="484" t="s">
        <v>395</v>
      </c>
      <c r="D71" s="485"/>
      <c r="E71" s="485"/>
      <c r="F71" s="485"/>
      <c r="G71" s="485"/>
      <c r="H71" s="485"/>
      <c r="I71" s="485"/>
      <c r="J71" s="485"/>
      <c r="K71" s="485"/>
      <c r="L71" s="485"/>
      <c r="M71" s="485"/>
      <c r="N71" s="485"/>
      <c r="O71" s="485"/>
      <c r="P71" s="486"/>
    </row>
    <row r="72" spans="2:16" ht="14.45" customHeight="1">
      <c r="C72" s="509" t="str">
        <f>Berechnungsgrundlagen!C163</f>
        <v>Nachweis WP-Luft technisch nicht möglich</v>
      </c>
      <c r="D72" s="510"/>
      <c r="E72" s="510"/>
      <c r="F72" s="510"/>
      <c r="G72" s="510"/>
      <c r="H72" s="510"/>
      <c r="I72" s="510"/>
      <c r="J72" s="510"/>
      <c r="K72" s="510"/>
      <c r="L72" s="510"/>
      <c r="M72" s="510"/>
      <c r="N72" s="510"/>
      <c r="O72" s="510"/>
      <c r="P72" s="511"/>
    </row>
    <row r="73" spans="2:16" ht="14.45" customHeight="1">
      <c r="C73" s="494" t="str">
        <f>Berechnungsgrundlagen!C164</f>
        <v>Nachweis Holzheizung technisch nicht möglich</v>
      </c>
      <c r="D73" s="495"/>
      <c r="E73" s="495"/>
      <c r="F73" s="495"/>
      <c r="G73" s="495"/>
      <c r="H73" s="495"/>
      <c r="I73" s="495"/>
      <c r="J73" s="495"/>
      <c r="K73" s="495"/>
      <c r="L73" s="495"/>
      <c r="M73" s="495"/>
      <c r="N73" s="495"/>
      <c r="O73" s="495"/>
      <c r="P73" s="496"/>
    </row>
    <row r="74" spans="2:16" ht="14.45" customHeight="1">
      <c r="C74" s="494" t="str">
        <f>Berechnungsgrundlagen!C165</f>
        <v/>
      </c>
      <c r="D74" s="495"/>
      <c r="E74" s="495"/>
      <c r="F74" s="495"/>
      <c r="G74" s="495"/>
      <c r="H74" s="495"/>
      <c r="I74" s="495"/>
      <c r="J74" s="495"/>
      <c r="K74" s="495"/>
      <c r="L74" s="495"/>
      <c r="M74" s="495"/>
      <c r="N74" s="495"/>
      <c r="O74" s="495"/>
      <c r="P74" s="496"/>
    </row>
    <row r="75" spans="2:16" ht="14.45" customHeight="1">
      <c r="C75" s="494" t="str">
        <f>Berechnungsgrundlagen!C166</f>
        <v/>
      </c>
      <c r="D75" s="495"/>
      <c r="E75" s="495"/>
      <c r="F75" s="495"/>
      <c r="G75" s="495"/>
      <c r="H75" s="495"/>
      <c r="I75" s="495"/>
      <c r="J75" s="495"/>
      <c r="K75" s="495"/>
      <c r="L75" s="495"/>
      <c r="M75" s="495"/>
      <c r="N75" s="495"/>
      <c r="O75" s="495"/>
      <c r="P75" s="496"/>
    </row>
    <row r="76" spans="2:16" ht="14.45" customHeight="1">
      <c r="C76" s="494" t="str">
        <f>Berechnungsgrundlagen!C167</f>
        <v/>
      </c>
      <c r="D76" s="495"/>
      <c r="E76" s="495"/>
      <c r="F76" s="495"/>
      <c r="G76" s="495"/>
      <c r="H76" s="495"/>
      <c r="I76" s="495"/>
      <c r="J76" s="495"/>
      <c r="K76" s="495"/>
      <c r="L76" s="495"/>
      <c r="M76" s="495"/>
      <c r="N76" s="495"/>
      <c r="O76" s="495"/>
      <c r="P76" s="496"/>
    </row>
    <row r="77" spans="2:16" ht="14.45" customHeight="1">
      <c r="C77" s="494" t="str">
        <f>Berechnungsgrundlagen!C168</f>
        <v/>
      </c>
      <c r="D77" s="495"/>
      <c r="E77" s="495"/>
      <c r="F77" s="495"/>
      <c r="G77" s="495"/>
      <c r="H77" s="495"/>
      <c r="I77" s="495"/>
      <c r="J77" s="495"/>
      <c r="K77" s="495"/>
      <c r="L77" s="495"/>
      <c r="M77" s="495"/>
      <c r="N77" s="495"/>
      <c r="O77" s="495"/>
      <c r="P77" s="496"/>
    </row>
    <row r="78" spans="2:16" ht="14.45" customHeight="1">
      <c r="C78" s="494" t="str">
        <f>Berechnungsgrundlagen!C169</f>
        <v/>
      </c>
      <c r="D78" s="495"/>
      <c r="E78" s="495"/>
      <c r="F78" s="495"/>
      <c r="G78" s="495"/>
      <c r="H78" s="495"/>
      <c r="I78" s="495"/>
      <c r="J78" s="495"/>
      <c r="K78" s="495"/>
      <c r="L78" s="495"/>
      <c r="M78" s="495"/>
      <c r="N78" s="495"/>
      <c r="O78" s="495"/>
      <c r="P78" s="496"/>
    </row>
    <row r="79" spans="2:16" ht="14.45" customHeight="1">
      <c r="C79" s="494" t="str">
        <f>Berechnungsgrundlagen!C170</f>
        <v/>
      </c>
      <c r="D79" s="495"/>
      <c r="E79" s="495"/>
      <c r="F79" s="495"/>
      <c r="G79" s="495"/>
      <c r="H79" s="495"/>
      <c r="I79" s="495"/>
      <c r="J79" s="495"/>
      <c r="K79" s="495"/>
      <c r="L79" s="495"/>
      <c r="M79" s="495"/>
      <c r="N79" s="495"/>
      <c r="O79" s="495"/>
      <c r="P79" s="496"/>
    </row>
    <row r="80" spans="2:16" ht="14.45" customHeight="1">
      <c r="C80" s="497" t="str">
        <f>Berechnungsgrundlagen!C171</f>
        <v/>
      </c>
      <c r="D80" s="498"/>
      <c r="E80" s="498"/>
      <c r="F80" s="498"/>
      <c r="G80" s="498"/>
      <c r="H80" s="498"/>
      <c r="I80" s="498"/>
      <c r="J80" s="498"/>
      <c r="K80" s="498"/>
      <c r="L80" s="498"/>
      <c r="M80" s="498"/>
      <c r="N80" s="498"/>
      <c r="O80" s="498"/>
      <c r="P80" s="499"/>
    </row>
    <row r="116" spans="2:2" s="219" customFormat="1">
      <c r="B116" s="223"/>
    </row>
  </sheetData>
  <sheetProtection algorithmName="SHA-512" hashValue="/oAC6u43tD+1TCgcsuNi78IHRcon+cff3Wn83OAxCqcoEc+xAetFPiRXgP9mjAoaTSBHuqBK7Q23u9YrOHLLag==" saltValue="a2ASgp8ttZ+GmyJjMLdTLQ==" spinCount="100000" sheet="1" objects="1" scenarios="1"/>
  <mergeCells count="160">
    <mergeCell ref="V7:W7"/>
    <mergeCell ref="C47:P47"/>
    <mergeCell ref="I45:J45"/>
    <mergeCell ref="O39:P39"/>
    <mergeCell ref="C35:P35"/>
    <mergeCell ref="I31:J31"/>
    <mergeCell ref="I34:J34"/>
    <mergeCell ref="I16:J16"/>
    <mergeCell ref="M15:P15"/>
    <mergeCell ref="M16:P16"/>
    <mergeCell ref="K17:L17"/>
    <mergeCell ref="K18:L18"/>
    <mergeCell ref="M17:P17"/>
    <mergeCell ref="M39:N39"/>
    <mergeCell ref="G34:H34"/>
    <mergeCell ref="M34:N34"/>
    <mergeCell ref="M40:N40"/>
    <mergeCell ref="O40:P40"/>
    <mergeCell ref="C43:P43"/>
    <mergeCell ref="K42:L42"/>
    <mergeCell ref="M42:N42"/>
    <mergeCell ref="O42:P42"/>
    <mergeCell ref="E41:F41"/>
    <mergeCell ref="G41:H41"/>
    <mergeCell ref="C49:P49"/>
    <mergeCell ref="I50:J50"/>
    <mergeCell ref="I52:J52"/>
    <mergeCell ref="O60:P60"/>
    <mergeCell ref="O55:P55"/>
    <mergeCell ref="C57:P57"/>
    <mergeCell ref="O58:P58"/>
    <mergeCell ref="O59:P59"/>
    <mergeCell ref="M59:N59"/>
    <mergeCell ref="M60:N60"/>
    <mergeCell ref="C60:L60"/>
    <mergeCell ref="E58:F58"/>
    <mergeCell ref="E59:F59"/>
    <mergeCell ref="E55:F55"/>
    <mergeCell ref="K55:L55"/>
    <mergeCell ref="M58:N58"/>
    <mergeCell ref="I59:J59"/>
    <mergeCell ref="K59:L59"/>
    <mergeCell ref="K58:L58"/>
    <mergeCell ref="M55:N55"/>
    <mergeCell ref="I58:J58"/>
    <mergeCell ref="I55:J55"/>
    <mergeCell ref="G42:H42"/>
    <mergeCell ref="I42:J42"/>
    <mergeCell ref="M50:N50"/>
    <mergeCell ref="M52:N52"/>
    <mergeCell ref="I54:J54"/>
    <mergeCell ref="M54:N54"/>
    <mergeCell ref="E54:F54"/>
    <mergeCell ref="O45:P45"/>
    <mergeCell ref="E45:F45"/>
    <mergeCell ref="M53:N53"/>
    <mergeCell ref="K45:L45"/>
    <mergeCell ref="G45:H45"/>
    <mergeCell ref="K53:L53"/>
    <mergeCell ref="K46:L46"/>
    <mergeCell ref="I46:J46"/>
    <mergeCell ref="M46:N46"/>
    <mergeCell ref="K52:L52"/>
    <mergeCell ref="K54:L54"/>
    <mergeCell ref="E50:F50"/>
    <mergeCell ref="E46:F46"/>
    <mergeCell ref="M45:N45"/>
    <mergeCell ref="O54:P54"/>
    <mergeCell ref="E52:F52"/>
    <mergeCell ref="I53:J53"/>
    <mergeCell ref="C78:P78"/>
    <mergeCell ref="C79:P79"/>
    <mergeCell ref="C80:P80"/>
    <mergeCell ref="G46:H46"/>
    <mergeCell ref="G50:H50"/>
    <mergeCell ref="G52:H52"/>
    <mergeCell ref="G53:H53"/>
    <mergeCell ref="G54:H54"/>
    <mergeCell ref="G55:H55"/>
    <mergeCell ref="G58:H58"/>
    <mergeCell ref="G59:H59"/>
    <mergeCell ref="O53:P53"/>
    <mergeCell ref="C51:P51"/>
    <mergeCell ref="O52:P52"/>
    <mergeCell ref="O50:P50"/>
    <mergeCell ref="C77:P77"/>
    <mergeCell ref="C76:P76"/>
    <mergeCell ref="O46:P46"/>
    <mergeCell ref="E53:F53"/>
    <mergeCell ref="C72:P72"/>
    <mergeCell ref="C73:P73"/>
    <mergeCell ref="C74:P74"/>
    <mergeCell ref="C75:P75"/>
    <mergeCell ref="K50:L50"/>
    <mergeCell ref="C71:P71"/>
    <mergeCell ref="C32:P32"/>
    <mergeCell ref="E34:F34"/>
    <mergeCell ref="M31:N31"/>
    <mergeCell ref="O30:P30"/>
    <mergeCell ref="O31:P31"/>
    <mergeCell ref="E28:F28"/>
    <mergeCell ref="I28:J28"/>
    <mergeCell ref="K28:L28"/>
    <mergeCell ref="G31:H31"/>
    <mergeCell ref="M30:N30"/>
    <mergeCell ref="O28:P28"/>
    <mergeCell ref="M28:N28"/>
    <mergeCell ref="E29:F29"/>
    <mergeCell ref="G29:H29"/>
    <mergeCell ref="O34:P34"/>
    <mergeCell ref="I29:J29"/>
    <mergeCell ref="K29:L29"/>
    <mergeCell ref="I30:J30"/>
    <mergeCell ref="I41:J41"/>
    <mergeCell ref="M41:N41"/>
    <mergeCell ref="O41:P41"/>
    <mergeCell ref="K41:L41"/>
    <mergeCell ref="E42:F42"/>
    <mergeCell ref="R8:S8"/>
    <mergeCell ref="R9:S9"/>
    <mergeCell ref="D6:P6"/>
    <mergeCell ref="C8:C9"/>
    <mergeCell ref="K12:P12"/>
    <mergeCell ref="M25:N25"/>
    <mergeCell ref="O18:P18"/>
    <mergeCell ref="M24:P24"/>
    <mergeCell ref="M14:N14"/>
    <mergeCell ref="O14:P14"/>
    <mergeCell ref="M13:P13"/>
    <mergeCell ref="E25:F25"/>
    <mergeCell ref="K15:L15"/>
    <mergeCell ref="K25:L25"/>
    <mergeCell ref="E24:L24"/>
    <mergeCell ref="K20:P20"/>
    <mergeCell ref="O25:P25"/>
    <mergeCell ref="K21:P21"/>
    <mergeCell ref="K22:P22"/>
    <mergeCell ref="K16:L16"/>
    <mergeCell ref="C25:D25"/>
    <mergeCell ref="M18:N18"/>
    <mergeCell ref="K19:P19"/>
    <mergeCell ref="I25:J25"/>
    <mergeCell ref="E31:F31"/>
    <mergeCell ref="K34:L34"/>
    <mergeCell ref="K31:L31"/>
    <mergeCell ref="E30:F30"/>
    <mergeCell ref="K30:L30"/>
    <mergeCell ref="G25:H25"/>
    <mergeCell ref="G28:H28"/>
    <mergeCell ref="G30:H30"/>
    <mergeCell ref="N5:P5"/>
    <mergeCell ref="D8:F8"/>
    <mergeCell ref="D9:F9"/>
    <mergeCell ref="N8:P8"/>
    <mergeCell ref="N9:P9"/>
    <mergeCell ref="G8:I8"/>
    <mergeCell ref="G9:I9"/>
    <mergeCell ref="J8:M8"/>
    <mergeCell ref="J9:M9"/>
    <mergeCell ref="D7:P7"/>
  </mergeCells>
  <conditionalFormatting sqref="B22">
    <cfRule type="expression" dxfId="62" priority="21">
      <formula>Wärmenetz_möglich="Nein"</formula>
    </cfRule>
  </conditionalFormatting>
  <conditionalFormatting sqref="C22:J22">
    <cfRule type="expression" dxfId="61" priority="22">
      <formula>Wärmenetz_möglich="Nein"</formula>
    </cfRule>
  </conditionalFormatting>
  <conditionalFormatting sqref="E59 I59">
    <cfRule type="cellIs" dxfId="60" priority="65" stopIfTrue="1" operator="equal">
      <formula>"Pkt. 3.1-3.4 vervollstän-digen"</formula>
    </cfRule>
    <cfRule type="cellIs" dxfId="59" priority="64" stopIfTrue="1" operator="equal">
      <formula>"System vervollstän-digen"</formula>
    </cfRule>
  </conditionalFormatting>
  <conditionalFormatting sqref="F27">
    <cfRule type="cellIs" dxfId="58" priority="13" operator="between">
      <formula>0.001</formula>
      <formula>VLOOKUP(System_1,Nutzungsgrad_ref,2,FALSE)</formula>
    </cfRule>
    <cfRule type="cellIs" dxfId="57" priority="63" operator="greaterThan">
      <formula>VLOOKUP(System_1,Nutzungsgrad_ref,4,FALSE)</formula>
    </cfRule>
  </conditionalFormatting>
  <conditionalFormatting sqref="G59">
    <cfRule type="cellIs" dxfId="56" priority="28" stopIfTrue="1" operator="equal">
      <formula>"Pkt. 3.1-3.4 vervollstän-digen"</formula>
    </cfRule>
    <cfRule type="cellIs" dxfId="55" priority="27" stopIfTrue="1" operator="equal">
      <formula>"System vervollstän-digen"</formula>
    </cfRule>
  </conditionalFormatting>
  <conditionalFormatting sqref="H27">
    <cfRule type="cellIs" dxfId="54" priority="7" operator="between">
      <formula>0.001</formula>
      <formula>VLOOKUP(System_2,Nutzungsgrad_max,2,FALSE)</formula>
    </cfRule>
    <cfRule type="cellIs" dxfId="53" priority="8" operator="greaterThan">
      <formula>VLOOKUP(System_2,Nutzungsgrad_ref,4,FALSE)</formula>
    </cfRule>
  </conditionalFormatting>
  <conditionalFormatting sqref="I16:J16">
    <cfRule type="cellIs" dxfId="52" priority="38" operator="greaterThan">
      <formula>100</formula>
    </cfRule>
    <cfRule type="cellIs" dxfId="51" priority="39" operator="greaterThan">
      <formula>50</formula>
    </cfRule>
  </conditionalFormatting>
  <conditionalFormatting sqref="J27">
    <cfRule type="cellIs" dxfId="50" priority="37" operator="greaterThan">
      <formula>VLOOKUP(System_3,Nutzungsgrad_ref,4,FALSE)</formula>
    </cfRule>
    <cfRule type="cellIs" dxfId="49" priority="6" operator="between">
      <formula>0.001</formula>
      <formula>VLOOKUP(System_3,Nutzungsgrad_max,2,FALSE)</formula>
    </cfRule>
  </conditionalFormatting>
  <conditionalFormatting sqref="K59 M59">
    <cfRule type="cellIs" dxfId="48" priority="93" stopIfTrue="1" operator="equal">
      <formula>"System vervollstän-digen"</formula>
    </cfRule>
    <cfRule type="cellIs" dxfId="47" priority="94" stopIfTrue="1" operator="equal">
      <formula>"Pkt. 3.1-3.4 vervollstän-digen"</formula>
    </cfRule>
  </conditionalFormatting>
  <conditionalFormatting sqref="K21:P21">
    <cfRule type="expression" dxfId="46" priority="17">
      <formula>Wärmenetz_möglich="Nein"</formula>
    </cfRule>
  </conditionalFormatting>
  <conditionalFormatting sqref="K22:P22">
    <cfRule type="expression" dxfId="45" priority="15">
      <formula>Wärmenetz_möglich="Nein"</formula>
    </cfRule>
    <cfRule type="expression" dxfId="44" priority="14">
      <formula>OR(Wärmenetz_möglich="Ja",Wärmenetz_möglich="")</formula>
    </cfRule>
  </conditionalFormatting>
  <conditionalFormatting sqref="L27">
    <cfRule type="cellIs" dxfId="43" priority="5" operator="between">
      <formula>0.001</formula>
      <formula>VLOOKUP(System_4,Nutzungsgrad_max,2,FALSE)</formula>
    </cfRule>
    <cfRule type="cellIs" dxfId="42" priority="62" operator="greaterThan">
      <formula>VLOOKUP(System_4,Nutzungsgrad_ref,4,FALSE)</formula>
    </cfRule>
  </conditionalFormatting>
  <conditionalFormatting sqref="M60">
    <cfRule type="cellIs" dxfId="41" priority="83" stopIfTrue="1" operator="equal">
      <formula>"NEIN"</formula>
    </cfRule>
    <cfRule type="cellIs" dxfId="40" priority="84" stopIfTrue="1" operator="equal">
      <formula>"JA"</formula>
    </cfRule>
  </conditionalFormatting>
  <conditionalFormatting sqref="M34:P34">
    <cfRule type="expression" dxfId="39" priority="1">
      <formula>OR(Minergie="Ja",GEAK_Klasse="A",GEAK_Klasse="B",GEAK_Klasse="C",GEAK_Klasse="D")</formula>
    </cfRule>
  </conditionalFormatting>
  <conditionalFormatting sqref="N5">
    <cfRule type="cellIs" dxfId="38" priority="25" operator="lessThan">
      <formula>$C$68</formula>
    </cfRule>
    <cfRule type="cellIs" dxfId="37" priority="26" operator="lessThan">
      <formula>TODAY()</formula>
    </cfRule>
  </conditionalFormatting>
  <conditionalFormatting sqref="N27">
    <cfRule type="cellIs" dxfId="36" priority="4" operator="between">
      <formula>0.001</formula>
      <formula>VLOOKUP(System_5,Nutzungsgrad_max,2,FALSE)</formula>
    </cfRule>
    <cfRule type="cellIs" dxfId="35" priority="61" operator="greaterThan">
      <formula>VLOOKUP(System_5,Nutzungsgrad_ref,4,FALSE)</formula>
    </cfRule>
  </conditionalFormatting>
  <conditionalFormatting sqref="O59">
    <cfRule type="cellIs" dxfId="34" priority="68" stopIfTrue="1" operator="equal">
      <formula>"System vervollstän-digen"</formula>
    </cfRule>
    <cfRule type="cellIs" dxfId="33" priority="69" stopIfTrue="1" operator="equal">
      <formula>"Pkt. 3.1-3.4 vervollstän-digen"</formula>
    </cfRule>
  </conditionalFormatting>
  <conditionalFormatting sqref="O60">
    <cfRule type="cellIs" dxfId="32" priority="66" stopIfTrue="1" operator="equal">
      <formula>"NEIN"</formula>
    </cfRule>
    <cfRule type="cellIs" dxfId="31" priority="67" stopIfTrue="1" operator="equal">
      <formula>"JA"</formula>
    </cfRule>
  </conditionalFormatting>
  <conditionalFormatting sqref="P27">
    <cfRule type="cellIs" dxfId="30" priority="3" operator="between">
      <formula>0.001</formula>
      <formula>VLOOKUP(System_6,Nutzungsgrad_max,2,FALSE)</formula>
    </cfRule>
    <cfRule type="cellIs" dxfId="29" priority="60" operator="greaterThan">
      <formula>VLOOKUP(System_6,Nutzungsgrad_ref,4,FALSE)</formula>
    </cfRule>
  </conditionalFormatting>
  <conditionalFormatting sqref="Q22">
    <cfRule type="expression" dxfId="28" priority="20">
      <formula>Wärmenetz_möglich="Nein"</formula>
    </cfRule>
  </conditionalFormatting>
  <dataValidations count="5">
    <dataValidation type="list" allowBlank="1" showInputMessage="1" showErrorMessage="1" sqref="M13:P13" xr:uid="{00000000-0002-0000-0000-000000000000}">
      <formula1>Gebäudekategorie_ref</formula1>
    </dataValidation>
    <dataValidation type="list" allowBlank="1" showInputMessage="1" showErrorMessage="1" sqref="O25:P25" xr:uid="{00000000-0002-0000-0000-000001000000}">
      <formula1>Alternativen2_ref</formula1>
    </dataValidation>
    <dataValidation type="list" allowBlank="1" showInputMessage="1" showErrorMessage="1" sqref="WVX24 WMB24 WCF24 VSJ24 VIN24 UYR24 UOV24 UEZ24 TVD24 TLH24 TBL24 SRP24 SHT24 RXX24 ROB24 REF24 QUJ24 QKN24 QAR24 PQV24 PGZ24 OXD24 ONH24 ODL24 NTP24 NJT24 MZX24 MQB24 MGF24 LWJ24 LMN24 LCR24 KSV24 KIZ24 JZD24 JPH24 JFL24 IVP24 ILT24 IBX24 HSB24 HIF24 GYJ24 GON24 GER24 FUV24 FKZ24 FBD24 ERH24 EHL24 DXP24 DNT24 DDX24 CUB24 CKF24 CAJ24 BQN24 BGR24 AWV24 AMZ24 ADD24 TH24 JL24" xr:uid="{00000000-0002-0000-0000-000002000000}">
      <formula1>#REF!</formula1>
    </dataValidation>
    <dataValidation type="list" allowBlank="1" showInputMessage="1" showErrorMessage="1" sqref="JJ24 WLZ24 WCD24 VSH24 VIL24 UYP24 UOT24 UEX24 TVB24 TLF24 TBJ24 SRN24 SHR24 RXV24 RNZ24 RED24 QUH24 QKL24 QAP24 PQT24 PGX24 OXB24 ONF24 ODJ24 NTN24 NJR24 MZV24 MPZ24 MGD24 LWH24 LML24 LCP24 KST24 KIX24 JZB24 JPF24 JFJ24 IVN24 ILR24 IBV24 HRZ24 HID24 GYH24 GOL24 GEP24 FUT24 FKX24 FBB24 ERF24 EHJ24 DXN24 DNR24 DDV24 CTZ24 CKD24 CAH24 BQL24 BGP24 AWT24 AMX24 ADB24 TF24" xr:uid="{00000000-0002-0000-0000-000003000000}">
      <formula1>$C$58:$C$72</formula1>
    </dataValidation>
    <dataValidation type="list" allowBlank="1" showInputMessage="1" showErrorMessage="1" sqref="G25:H25" xr:uid="{00000000-0002-0000-0000-000004000000}">
      <formula1>WP_Luft_Liste</formula1>
    </dataValidation>
  </dataValidations>
  <hyperlinks>
    <hyperlink ref="U21" r:id="rId1" xr:uid="{00000000-0004-0000-0000-000000000000}"/>
    <hyperlink ref="W21" r:id="rId2" xr:uid="{00000000-0004-0000-0000-000001000000}"/>
    <hyperlink ref="Y21" r:id="rId3" xr:uid="{00000000-0004-0000-0000-000002000000}"/>
  </hyperlinks>
  <pageMargins left="0.59055118110236227" right="0.43307086614173229" top="0.59055118110236227" bottom="0.59055118110236227" header="0.31496062992125984" footer="0.31496062992125984"/>
  <pageSetup paperSize="9" scale="66" orientation="portrait" r:id="rId4"/>
  <ignoredErrors>
    <ignoredError sqref="F34 L34 K25" unlockedFormula="1"/>
    <ignoredError sqref="B12:B18 B23:B26 B19:B22 B29:B31" numberStoredAsText="1"/>
  </ignoredErrors>
  <drawing r:id="rId5"/>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5000000}">
          <x14:formula1>
            <xm:f>Berechnungsgrundlagen!$B$34:$B$36</xm:f>
          </x14:formula1>
          <xm:sqref>K19 K21:P21 K12:P12</xm:sqref>
        </x14:dataValidation>
        <x14:dataValidation type="list" allowBlank="1" showInputMessage="1" xr:uid="{00000000-0002-0000-0000-000006000000}">
          <x14:formula1>
            <xm:f>Berechnungsgrundlagen!$B$39:$B$46</xm:f>
          </x14:formula1>
          <xm:sqref>K20:P20</xm:sqref>
        </x14:dataValidation>
        <x14:dataValidation type="list" allowBlank="1" showInputMessage="1" xr:uid="{00000000-0002-0000-0000-000007000000}">
          <x14:formula1>
            <xm:f>Berechnungsgrundlagen!$B$49:$B$51</xm:f>
          </x14:formula1>
          <xm:sqref>K22</xm:sqref>
        </x14:dataValidation>
        <x14:dataValidation type="list" allowBlank="1" showInputMessage="1" showErrorMessage="1" xr:uid="{00000000-0002-0000-0000-000008000000}">
          <x14:formula1>
            <xm:f>Berechnungsgrundlagen!$B$65:$B$67</xm:f>
          </x14:formula1>
          <xm:sqref>I25:J25</xm:sqref>
        </x14:dataValidation>
        <x14:dataValidation type="list" allowBlank="1" showInputMessage="1" showErrorMessage="1" xr:uid="{00000000-0002-0000-0000-000009000000}">
          <x14:formula1>
            <xm:f>Berechnungsgrundlagen!$B$59:$B$60</xm:f>
          </x14:formula1>
          <xm:sqref>E25:F25</xm:sqref>
        </x14:dataValidation>
        <x14:dataValidation type="list" allowBlank="1" showInputMessage="1" showErrorMessage="1" xr:uid="{00000000-0002-0000-0000-00000A000000}">
          <x14:formula1>
            <xm:f>'2.3 Strompreis'!$A$25:$A$40</xm:f>
          </x14:formula1>
          <xm:sqref>O14:P14</xm:sqref>
        </x14:dataValidation>
        <x14:dataValidation type="list" allowBlank="1" showInputMessage="1" showErrorMessage="1" xr:uid="{00000000-0002-0000-0000-00000B000000}">
          <x14:formula1>
            <xm:f>Berechnungsgrundlagen!$B$69:$B$81</xm:f>
          </x14:formula1>
          <xm:sqref>WVV24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12"/>
  <sheetViews>
    <sheetView topLeftCell="A81" workbookViewId="0">
      <selection activeCell="J106" sqref="J106"/>
    </sheetView>
  </sheetViews>
  <sheetFormatPr baseColWidth="10" defaultRowHeight="15"/>
  <sheetData>
    <row r="1" spans="1:12" ht="15" customHeight="1">
      <c r="A1" s="539" t="s">
        <v>407</v>
      </c>
      <c r="B1" s="539"/>
      <c r="C1" s="539"/>
      <c r="D1" s="539"/>
    </row>
    <row r="2" spans="1:12" ht="15" customHeight="1">
      <c r="A2" s="539"/>
      <c r="B2" s="539"/>
      <c r="C2" s="539"/>
      <c r="D2" s="539"/>
    </row>
    <row r="3" spans="1:12">
      <c r="A3" s="225" t="s">
        <v>374</v>
      </c>
      <c r="B3" s="226"/>
      <c r="C3" s="226"/>
      <c r="D3" s="226"/>
      <c r="E3" s="226"/>
      <c r="F3" s="226"/>
      <c r="G3" s="226"/>
      <c r="H3" s="226"/>
      <c r="I3" s="226"/>
      <c r="J3" s="226"/>
      <c r="K3" s="226"/>
      <c r="L3" s="226"/>
    </row>
    <row r="4" spans="1:12">
      <c r="A4" s="237" t="s">
        <v>385</v>
      </c>
      <c r="B4" s="238"/>
      <c r="C4" s="239" t="s">
        <v>426</v>
      </c>
      <c r="D4" s="239"/>
      <c r="E4" s="239">
        <v>2026</v>
      </c>
      <c r="F4" s="239">
        <v>2025</v>
      </c>
      <c r="G4" s="239">
        <v>2024</v>
      </c>
      <c r="H4" s="239">
        <v>2023</v>
      </c>
      <c r="I4" s="239">
        <v>2022</v>
      </c>
      <c r="J4" s="239">
        <v>2021</v>
      </c>
      <c r="K4" s="239">
        <v>2020</v>
      </c>
      <c r="L4" s="240">
        <v>2019</v>
      </c>
    </row>
    <row r="5" spans="1:12">
      <c r="A5" s="241">
        <v>10</v>
      </c>
      <c r="B5" s="242"/>
      <c r="C5" s="242"/>
      <c r="D5" s="242"/>
      <c r="E5" s="242">
        <v>10.1</v>
      </c>
      <c r="F5" s="242">
        <v>10.08</v>
      </c>
      <c r="G5" s="384">
        <v>9.98</v>
      </c>
      <c r="H5" s="384">
        <v>9.7684157416750761</v>
      </c>
      <c r="I5" s="384">
        <v>9.5</v>
      </c>
      <c r="J5" s="242">
        <v>9.4499999999999993</v>
      </c>
      <c r="K5" s="242">
        <v>9.52</v>
      </c>
      <c r="L5" s="243">
        <v>9.48</v>
      </c>
    </row>
    <row r="6" spans="1:12">
      <c r="A6" s="241">
        <v>20</v>
      </c>
      <c r="B6" s="242"/>
      <c r="C6" s="242"/>
      <c r="D6" s="242"/>
      <c r="E6" s="242">
        <v>10.1</v>
      </c>
      <c r="F6" s="242">
        <v>10.08</v>
      </c>
      <c r="G6" s="384">
        <v>9.98</v>
      </c>
      <c r="H6" s="384">
        <v>9.7684157416750761</v>
      </c>
      <c r="I6" s="384">
        <v>9.5</v>
      </c>
      <c r="J6" s="242">
        <v>9.4499999999999993</v>
      </c>
      <c r="K6" s="242">
        <v>9.52</v>
      </c>
      <c r="L6" s="243">
        <v>9.48</v>
      </c>
    </row>
    <row r="7" spans="1:12">
      <c r="A7" s="241">
        <v>40</v>
      </c>
      <c r="B7" s="242"/>
      <c r="C7" s="242"/>
      <c r="D7" s="242"/>
      <c r="E7" s="242">
        <v>8.51</v>
      </c>
      <c r="F7" s="242">
        <v>8.49</v>
      </c>
      <c r="G7" s="384">
        <v>8.4</v>
      </c>
      <c r="H7" s="384">
        <v>8.2260343087790115</v>
      </c>
      <c r="I7" s="384">
        <v>8</v>
      </c>
      <c r="J7" s="242">
        <v>7.96</v>
      </c>
      <c r="K7" s="242">
        <v>8.02</v>
      </c>
      <c r="L7" s="243">
        <v>7.98</v>
      </c>
    </row>
    <row r="8" spans="1:12">
      <c r="A8" s="241">
        <v>60</v>
      </c>
      <c r="B8" s="242"/>
      <c r="C8" s="242"/>
      <c r="D8" s="242"/>
      <c r="E8" s="242">
        <v>7.98</v>
      </c>
      <c r="F8" s="242">
        <v>7.96</v>
      </c>
      <c r="G8" s="384">
        <v>7.88</v>
      </c>
      <c r="H8" s="384">
        <v>7.7119071644803237</v>
      </c>
      <c r="I8" s="384">
        <v>7.5</v>
      </c>
      <c r="J8" s="242">
        <v>7.46</v>
      </c>
      <c r="K8" s="242">
        <v>7.52</v>
      </c>
      <c r="L8" s="243">
        <v>7.48</v>
      </c>
    </row>
    <row r="9" spans="1:12">
      <c r="A9" s="241">
        <v>80</v>
      </c>
      <c r="B9" s="242"/>
      <c r="C9" s="242"/>
      <c r="D9" s="242"/>
      <c r="E9" s="242">
        <v>7.98</v>
      </c>
      <c r="F9" s="242">
        <v>7.96</v>
      </c>
      <c r="G9" s="384">
        <v>7.88</v>
      </c>
      <c r="H9" s="384">
        <v>7.7119071644803237</v>
      </c>
      <c r="I9" s="384">
        <v>7.5</v>
      </c>
      <c r="J9" s="242">
        <v>7.46</v>
      </c>
      <c r="K9" s="242">
        <v>7.52</v>
      </c>
      <c r="L9" s="243">
        <v>7.48</v>
      </c>
    </row>
    <row r="10" spans="1:12">
      <c r="A10" s="241">
        <v>120</v>
      </c>
      <c r="B10" s="242"/>
      <c r="C10" s="242"/>
      <c r="D10" s="242"/>
      <c r="E10" s="242">
        <v>6.91</v>
      </c>
      <c r="F10" s="242">
        <v>6.9</v>
      </c>
      <c r="G10" s="384">
        <v>6.83</v>
      </c>
      <c r="H10" s="384">
        <v>6.683652875882947</v>
      </c>
      <c r="I10" s="384">
        <v>6.5</v>
      </c>
      <c r="J10" s="242">
        <v>6.47</v>
      </c>
      <c r="K10" s="242">
        <v>6.51</v>
      </c>
      <c r="L10" s="243">
        <v>6.49</v>
      </c>
    </row>
    <row r="11" spans="1:12">
      <c r="A11" s="241">
        <v>250</v>
      </c>
      <c r="B11" s="242"/>
      <c r="C11" s="242"/>
      <c r="D11" s="242"/>
      <c r="E11" s="242">
        <v>6.91</v>
      </c>
      <c r="F11" s="242">
        <v>6.9</v>
      </c>
      <c r="G11" s="384">
        <v>6.83</v>
      </c>
      <c r="H11" s="384">
        <v>6.683652875882947</v>
      </c>
      <c r="I11" s="384">
        <v>6.5</v>
      </c>
      <c r="J11" s="242">
        <v>6.47</v>
      </c>
      <c r="K11" s="242">
        <v>6.51</v>
      </c>
      <c r="L11" s="243">
        <v>6.49</v>
      </c>
    </row>
    <row r="12" spans="1:12">
      <c r="A12" s="244" t="s">
        <v>405</v>
      </c>
      <c r="B12" s="245"/>
      <c r="C12" s="245"/>
      <c r="D12" s="245"/>
      <c r="E12" s="245">
        <v>6.38</v>
      </c>
      <c r="F12" s="245">
        <v>6.37</v>
      </c>
      <c r="G12" s="385">
        <v>6.3</v>
      </c>
      <c r="H12" s="385">
        <v>6.1695257315842582</v>
      </c>
      <c r="I12" s="385">
        <v>6</v>
      </c>
      <c r="J12" s="245">
        <v>5.97</v>
      </c>
      <c r="K12" s="245">
        <v>6.01</v>
      </c>
      <c r="L12" s="246">
        <v>5.99</v>
      </c>
    </row>
    <row r="13" spans="1:12">
      <c r="A13" s="228"/>
      <c r="B13" s="228"/>
      <c r="C13" s="228"/>
      <c r="D13" s="228"/>
      <c r="E13" s="228"/>
      <c r="F13" s="228"/>
      <c r="G13" s="228"/>
      <c r="H13" s="228"/>
      <c r="I13" s="228"/>
      <c r="J13" s="228"/>
      <c r="K13" s="228"/>
      <c r="L13" s="228"/>
    </row>
    <row r="14" spans="1:12">
      <c r="A14" s="227" t="s">
        <v>392</v>
      </c>
      <c r="B14" s="228"/>
      <c r="C14" s="228"/>
      <c r="D14" s="228"/>
      <c r="E14" s="228"/>
      <c r="F14" s="228"/>
      <c r="G14" s="228"/>
      <c r="H14" s="228"/>
      <c r="I14" s="228"/>
      <c r="J14" s="228"/>
      <c r="K14" s="228"/>
      <c r="L14" s="228"/>
    </row>
    <row r="15" spans="1:12">
      <c r="A15" s="237" t="s">
        <v>385</v>
      </c>
      <c r="B15" s="238"/>
      <c r="C15" s="239" t="s">
        <v>427</v>
      </c>
      <c r="D15" s="239"/>
      <c r="E15" s="238"/>
      <c r="F15" s="238"/>
      <c r="G15" s="238"/>
      <c r="H15" s="238"/>
      <c r="I15" s="238"/>
      <c r="J15" s="238"/>
      <c r="K15" s="238"/>
      <c r="L15" s="247"/>
    </row>
    <row r="16" spans="1:12">
      <c r="A16" s="241">
        <v>10</v>
      </c>
      <c r="B16" s="242"/>
      <c r="C16" s="242"/>
      <c r="D16" s="242"/>
      <c r="E16" s="242">
        <v>14</v>
      </c>
      <c r="F16" s="242">
        <v>14.03</v>
      </c>
      <c r="G16" s="242">
        <v>14.17</v>
      </c>
      <c r="H16" s="384">
        <v>13.578990347870896</v>
      </c>
      <c r="I16" s="384">
        <v>12.635404178019984</v>
      </c>
      <c r="J16" s="384">
        <v>12.6</v>
      </c>
      <c r="K16" s="384">
        <v>12.75</v>
      </c>
      <c r="L16" s="243">
        <v>12.65</v>
      </c>
    </row>
    <row r="17" spans="1:12">
      <c r="A17" s="241">
        <v>20</v>
      </c>
      <c r="B17" s="242"/>
      <c r="C17" s="242"/>
      <c r="D17" s="242"/>
      <c r="E17" s="242">
        <v>13.67</v>
      </c>
      <c r="F17" s="242">
        <v>13.7</v>
      </c>
      <c r="G17" s="242">
        <v>13.84</v>
      </c>
      <c r="H17" s="384">
        <v>13.258226796346387</v>
      </c>
      <c r="I17" s="384">
        <v>12.336930063578565</v>
      </c>
      <c r="J17" s="384">
        <v>12.3</v>
      </c>
      <c r="K17" s="384">
        <v>12.45</v>
      </c>
      <c r="L17" s="243">
        <v>12.35</v>
      </c>
    </row>
    <row r="18" spans="1:12">
      <c r="A18" s="241">
        <v>40</v>
      </c>
      <c r="B18" s="242"/>
      <c r="C18" s="242"/>
      <c r="D18" s="242"/>
      <c r="E18" s="242">
        <v>12.56</v>
      </c>
      <c r="F18" s="242">
        <v>12.59</v>
      </c>
      <c r="G18" s="242">
        <v>12.72</v>
      </c>
      <c r="H18" s="384">
        <v>12.189014957931354</v>
      </c>
      <c r="I18" s="384">
        <v>11.342016348773843</v>
      </c>
      <c r="J18" s="384">
        <v>11.31</v>
      </c>
      <c r="K18" s="384">
        <v>11.45</v>
      </c>
      <c r="L18" s="243">
        <v>11.35</v>
      </c>
    </row>
    <row r="19" spans="1:12">
      <c r="A19" s="241">
        <v>60</v>
      </c>
      <c r="B19" s="242"/>
      <c r="C19" s="242"/>
      <c r="D19" s="242"/>
      <c r="E19" s="242">
        <v>12.01</v>
      </c>
      <c r="F19" s="242">
        <v>12.04</v>
      </c>
      <c r="G19" s="242">
        <v>12.16</v>
      </c>
      <c r="H19" s="384">
        <v>11.654409038723839</v>
      </c>
      <c r="I19" s="384">
        <v>10.844559491371481</v>
      </c>
      <c r="J19" s="384">
        <v>10.81</v>
      </c>
      <c r="K19" s="384">
        <v>10.95</v>
      </c>
      <c r="L19" s="243">
        <v>10.86</v>
      </c>
    </row>
    <row r="20" spans="1:12">
      <c r="A20" s="241">
        <v>80</v>
      </c>
      <c r="B20" s="242"/>
      <c r="C20" s="242"/>
      <c r="D20" s="242"/>
      <c r="E20" s="242">
        <v>12.01</v>
      </c>
      <c r="F20" s="242">
        <v>12.04</v>
      </c>
      <c r="G20" s="242">
        <v>12.16</v>
      </c>
      <c r="H20" s="384">
        <v>11.654409038723839</v>
      </c>
      <c r="I20" s="384">
        <v>10.844559491371481</v>
      </c>
      <c r="J20" s="384">
        <v>10.81</v>
      </c>
      <c r="K20" s="384">
        <v>10.95</v>
      </c>
      <c r="L20" s="243">
        <v>10.86</v>
      </c>
    </row>
    <row r="21" spans="1:12">
      <c r="A21" s="241">
        <v>120</v>
      </c>
      <c r="B21" s="242"/>
      <c r="C21" s="242"/>
      <c r="D21" s="242"/>
      <c r="E21" s="242">
        <v>11.74</v>
      </c>
      <c r="F21" s="242">
        <v>11.77</v>
      </c>
      <c r="G21" s="242">
        <v>11.89</v>
      </c>
      <c r="H21" s="384">
        <v>11.387106079120082</v>
      </c>
      <c r="I21" s="384">
        <v>10.5958310626703</v>
      </c>
      <c r="J21" s="384">
        <v>10.56</v>
      </c>
      <c r="K21" s="384">
        <v>10.7</v>
      </c>
      <c r="L21" s="243">
        <v>10.61</v>
      </c>
    </row>
    <row r="22" spans="1:12">
      <c r="A22" s="241">
        <v>250</v>
      </c>
      <c r="B22" s="242"/>
      <c r="C22" s="242"/>
      <c r="D22" s="242"/>
      <c r="E22" s="242">
        <v>11.46</v>
      </c>
      <c r="F22" s="242">
        <v>11.49</v>
      </c>
      <c r="G22" s="242">
        <v>11.61</v>
      </c>
      <c r="H22" s="384">
        <v>11.119803119516323</v>
      </c>
      <c r="I22" s="384">
        <v>10.34710263396912</v>
      </c>
      <c r="J22" s="384">
        <v>10.31</v>
      </c>
      <c r="K22" s="384">
        <v>10.44</v>
      </c>
      <c r="L22" s="243">
        <v>10.36</v>
      </c>
    </row>
    <row r="23" spans="1:12">
      <c r="A23" s="244" t="s">
        <v>405</v>
      </c>
      <c r="B23" s="245"/>
      <c r="C23" s="245"/>
      <c r="D23" s="245"/>
      <c r="E23" s="245">
        <v>11.19</v>
      </c>
      <c r="F23" s="245">
        <v>11.21</v>
      </c>
      <c r="G23" s="245">
        <v>11.33</v>
      </c>
      <c r="H23" s="385">
        <v>10.852500159912566</v>
      </c>
      <c r="I23" s="385">
        <v>10.098374205267939</v>
      </c>
      <c r="J23" s="385">
        <v>10.07</v>
      </c>
      <c r="K23" s="385">
        <v>10.19</v>
      </c>
      <c r="L23" s="246">
        <v>10.11</v>
      </c>
    </row>
    <row r="26" spans="1:12">
      <c r="A26" s="229" t="s">
        <v>391</v>
      </c>
      <c r="B26" s="230"/>
      <c r="C26" s="230"/>
      <c r="D26" s="230"/>
      <c r="E26" s="230"/>
      <c r="F26" s="230"/>
      <c r="G26" s="230"/>
      <c r="H26" s="230"/>
      <c r="I26" s="230"/>
      <c r="J26" s="230"/>
      <c r="K26" s="230"/>
      <c r="L26" s="230"/>
    </row>
    <row r="27" spans="1:12">
      <c r="A27" s="229"/>
      <c r="B27" s="230"/>
      <c r="C27" s="230"/>
      <c r="D27" s="230"/>
      <c r="E27" s="230"/>
      <c r="F27" s="230"/>
      <c r="G27" s="230"/>
      <c r="H27" s="230"/>
      <c r="I27" s="230"/>
      <c r="J27" s="230"/>
      <c r="K27" s="230"/>
      <c r="L27" s="230"/>
    </row>
    <row r="28" spans="1:12">
      <c r="A28" s="229" t="s">
        <v>374</v>
      </c>
      <c r="B28" s="230"/>
      <c r="C28" s="230"/>
      <c r="D28" s="230"/>
      <c r="E28" s="230"/>
      <c r="F28" s="230"/>
      <c r="G28" s="230"/>
      <c r="H28" s="230"/>
      <c r="I28" s="230"/>
      <c r="J28" s="230"/>
      <c r="K28" s="230"/>
      <c r="L28" s="230"/>
    </row>
    <row r="29" spans="1:12">
      <c r="A29" s="248" t="s">
        <v>385</v>
      </c>
      <c r="B29" s="262"/>
      <c r="C29" s="263" t="s">
        <v>428</v>
      </c>
      <c r="D29" s="263"/>
      <c r="E29" s="263">
        <v>2026</v>
      </c>
      <c r="F29" s="263">
        <v>2025</v>
      </c>
      <c r="G29" s="263">
        <v>2024</v>
      </c>
      <c r="H29" s="263">
        <v>2023</v>
      </c>
      <c r="I29" s="263">
        <v>2022</v>
      </c>
      <c r="J29" s="263">
        <v>2021</v>
      </c>
      <c r="K29" s="263">
        <v>2020</v>
      </c>
      <c r="L29" s="264">
        <v>2019</v>
      </c>
    </row>
    <row r="30" spans="1:12">
      <c r="A30" s="250">
        <v>10</v>
      </c>
      <c r="B30" s="265"/>
      <c r="C30" s="265"/>
      <c r="D30" s="265"/>
      <c r="E30" s="387">
        <f t="shared" ref="E30:F30" si="0">IF(Wärmeerzeugerleistung&lt;=$A30,E5*12*Wärmeerzeugerleistung,0)</f>
        <v>0</v>
      </c>
      <c r="F30" s="387">
        <f t="shared" si="0"/>
        <v>0</v>
      </c>
      <c r="G30" s="387">
        <f t="shared" ref="G30:L30" si="1">IF(Wärmeerzeugerleistung&lt;=$A30,G5*12*Wärmeerzeugerleistung,0)</f>
        <v>0</v>
      </c>
      <c r="H30" s="387">
        <f t="shared" si="1"/>
        <v>0</v>
      </c>
      <c r="I30" s="387">
        <f t="shared" si="1"/>
        <v>0</v>
      </c>
      <c r="J30" s="387">
        <f t="shared" si="1"/>
        <v>0</v>
      </c>
      <c r="K30" s="387">
        <f t="shared" si="1"/>
        <v>0</v>
      </c>
      <c r="L30" s="388">
        <f t="shared" si="1"/>
        <v>0</v>
      </c>
    </row>
    <row r="31" spans="1:12">
      <c r="A31" s="250">
        <v>20</v>
      </c>
      <c r="B31" s="265"/>
      <c r="C31" s="265"/>
      <c r="D31" s="265"/>
      <c r="E31" s="387">
        <f t="shared" ref="E31:F31" si="2">IF(AND(Wärmeerzeugerleistung&gt;$A30,Wärmeerzeugerleistung&lt;=$A31),E6*12*Wärmeerzeugerleistung,0)</f>
        <v>0</v>
      </c>
      <c r="F31" s="387">
        <f t="shared" si="2"/>
        <v>0</v>
      </c>
      <c r="G31" s="387">
        <f t="shared" ref="G31:H31" si="3">IF(AND(Wärmeerzeugerleistung&gt;$A30,Wärmeerzeugerleistung&lt;=$A31),G6*12*Wärmeerzeugerleistung,0)</f>
        <v>0</v>
      </c>
      <c r="H31" s="387">
        <f t="shared" si="3"/>
        <v>0</v>
      </c>
      <c r="I31" s="387">
        <f t="shared" ref="I31:L36" si="4">IF(AND(Wärmeerzeugerleistung&gt;$A30,Wärmeerzeugerleistung&lt;=$A31),I6*12*Wärmeerzeugerleistung,0)</f>
        <v>0</v>
      </c>
      <c r="J31" s="387">
        <f t="shared" si="4"/>
        <v>0</v>
      </c>
      <c r="K31" s="387">
        <f t="shared" si="4"/>
        <v>0</v>
      </c>
      <c r="L31" s="388">
        <f t="shared" si="4"/>
        <v>0</v>
      </c>
    </row>
    <row r="32" spans="1:12">
      <c r="A32" s="250">
        <v>40</v>
      </c>
      <c r="B32" s="265"/>
      <c r="C32" s="265"/>
      <c r="D32" s="265"/>
      <c r="E32" s="387">
        <f t="shared" ref="E32:F32" si="5">IF(AND(Wärmeerzeugerleistung&gt;$A31,Wärmeerzeugerleistung&lt;=$A32),E7*12*Wärmeerzeugerleistung,0)</f>
        <v>0</v>
      </c>
      <c r="F32" s="387">
        <f t="shared" si="5"/>
        <v>0</v>
      </c>
      <c r="G32" s="387">
        <f t="shared" ref="G32:H32" si="6">IF(AND(Wärmeerzeugerleistung&gt;$A31,Wärmeerzeugerleistung&lt;=$A32),G7*12*Wärmeerzeugerleistung,0)</f>
        <v>0</v>
      </c>
      <c r="H32" s="387">
        <f t="shared" si="6"/>
        <v>0</v>
      </c>
      <c r="I32" s="387">
        <f t="shared" si="4"/>
        <v>0</v>
      </c>
      <c r="J32" s="387">
        <f t="shared" si="4"/>
        <v>0</v>
      </c>
      <c r="K32" s="387">
        <f t="shared" si="4"/>
        <v>0</v>
      </c>
      <c r="L32" s="388">
        <f t="shared" si="4"/>
        <v>0</v>
      </c>
    </row>
    <row r="33" spans="1:12">
      <c r="A33" s="250">
        <v>60</v>
      </c>
      <c r="B33" s="265"/>
      <c r="C33" s="265"/>
      <c r="D33" s="265"/>
      <c r="E33" s="387">
        <f>IF(AND(Wärmeerzeugerleistung&gt;$A32,Wärmeerzeugerleistung&lt;=$A33),E8*12*Wärmeerzeugerleistung,0)</f>
        <v>0</v>
      </c>
      <c r="F33" s="387">
        <f>IF(AND(Wärmeerzeugerleistung&gt;$A32,Wärmeerzeugerleistung&lt;=$A33),F8*12*Wärmeerzeugerleistung,0)</f>
        <v>0</v>
      </c>
      <c r="G33" s="387">
        <f>IF(AND(Wärmeerzeugerleistung&gt;$A32,Wärmeerzeugerleistung&lt;=$A33),G8*12*Wärmeerzeugerleistung,0)</f>
        <v>0</v>
      </c>
      <c r="H33" s="387">
        <f>IF(AND(Wärmeerzeugerleistung&gt;$A32,Wärmeerzeugerleistung&lt;=$A33),H8*12*Wärmeerzeugerleistung,0)</f>
        <v>0</v>
      </c>
      <c r="I33" s="387">
        <f>IF(AND(Wärmeerzeugerleistung&gt;$A32,Wärmeerzeugerleistung&lt;=$A33),I8*12*Wärmeerzeugerleistung,0)</f>
        <v>0</v>
      </c>
      <c r="J33" s="387">
        <f t="shared" si="4"/>
        <v>0</v>
      </c>
      <c r="K33" s="387">
        <f t="shared" si="4"/>
        <v>0</v>
      </c>
      <c r="L33" s="388">
        <f t="shared" si="4"/>
        <v>0</v>
      </c>
    </row>
    <row r="34" spans="1:12">
      <c r="A34" s="250">
        <v>80</v>
      </c>
      <c r="B34" s="265"/>
      <c r="C34" s="265"/>
      <c r="D34" s="265"/>
      <c r="E34" s="387">
        <f t="shared" ref="E34:F34" si="7">IF(AND(Wärmeerzeugerleistung&gt;$A33,Wärmeerzeugerleistung&lt;=$A34),E9*12*Wärmeerzeugerleistung,0)</f>
        <v>0</v>
      </c>
      <c r="F34" s="387">
        <f t="shared" si="7"/>
        <v>0</v>
      </c>
      <c r="G34" s="387">
        <f t="shared" ref="G34:H34" si="8">IF(AND(Wärmeerzeugerleistung&gt;$A33,Wärmeerzeugerleistung&lt;=$A34),G9*12*Wärmeerzeugerleistung,0)</f>
        <v>0</v>
      </c>
      <c r="H34" s="387">
        <f t="shared" si="8"/>
        <v>0</v>
      </c>
      <c r="I34" s="387">
        <f t="shared" si="4"/>
        <v>0</v>
      </c>
      <c r="J34" s="387">
        <f t="shared" si="4"/>
        <v>0</v>
      </c>
      <c r="K34" s="387">
        <f t="shared" si="4"/>
        <v>0</v>
      </c>
      <c r="L34" s="388">
        <f t="shared" si="4"/>
        <v>0</v>
      </c>
    </row>
    <row r="35" spans="1:12">
      <c r="A35" s="250">
        <v>120</v>
      </c>
      <c r="B35" s="265"/>
      <c r="C35" s="265"/>
      <c r="D35" s="265"/>
      <c r="E35" s="387">
        <f t="shared" ref="E35:F35" si="9">IF(AND(Wärmeerzeugerleistung&gt;$A34,Wärmeerzeugerleistung&lt;=$A35),E10*12*Wärmeerzeugerleistung,0)</f>
        <v>0</v>
      </c>
      <c r="F35" s="387">
        <f t="shared" si="9"/>
        <v>0</v>
      </c>
      <c r="G35" s="387">
        <f t="shared" ref="G35:H35" si="10">IF(AND(Wärmeerzeugerleistung&gt;$A34,Wärmeerzeugerleistung&lt;=$A35),G10*12*Wärmeerzeugerleistung,0)</f>
        <v>0</v>
      </c>
      <c r="H35" s="387">
        <f t="shared" si="10"/>
        <v>0</v>
      </c>
      <c r="I35" s="387">
        <f t="shared" si="4"/>
        <v>0</v>
      </c>
      <c r="J35" s="387">
        <f t="shared" si="4"/>
        <v>0</v>
      </c>
      <c r="K35" s="387">
        <f t="shared" si="4"/>
        <v>0</v>
      </c>
      <c r="L35" s="388">
        <f t="shared" si="4"/>
        <v>0</v>
      </c>
    </row>
    <row r="36" spans="1:12">
      <c r="A36" s="250">
        <v>250</v>
      </c>
      <c r="B36" s="265"/>
      <c r="C36" s="265"/>
      <c r="D36" s="265"/>
      <c r="E36" s="387">
        <f t="shared" ref="E36:F36" si="11">IF(AND(Wärmeerzeugerleistung&gt;$A35,Wärmeerzeugerleistung&lt;=$A36),E11*12*Wärmeerzeugerleistung,0)</f>
        <v>0</v>
      </c>
      <c r="F36" s="387">
        <f t="shared" si="11"/>
        <v>0</v>
      </c>
      <c r="G36" s="387">
        <f t="shared" ref="G36:H36" si="12">IF(AND(Wärmeerzeugerleistung&gt;$A35,Wärmeerzeugerleistung&lt;=$A36),G11*12*Wärmeerzeugerleistung,0)</f>
        <v>0</v>
      </c>
      <c r="H36" s="387">
        <f t="shared" si="12"/>
        <v>0</v>
      </c>
      <c r="I36" s="387">
        <f t="shared" si="4"/>
        <v>0</v>
      </c>
      <c r="J36" s="387">
        <f t="shared" si="4"/>
        <v>0</v>
      </c>
      <c r="K36" s="387">
        <f t="shared" si="4"/>
        <v>0</v>
      </c>
      <c r="L36" s="388">
        <f t="shared" si="4"/>
        <v>0</v>
      </c>
    </row>
    <row r="37" spans="1:12">
      <c r="A37" s="266" t="s">
        <v>405</v>
      </c>
      <c r="B37" s="267"/>
      <c r="C37" s="267"/>
      <c r="D37" s="267"/>
      <c r="E37" s="389">
        <f t="shared" ref="E37:F37" si="13">IF(Wärmeerzeugerleistung&gt;$A36,E12*12*Wärmeerzeugerleistung,0)</f>
        <v>0</v>
      </c>
      <c r="F37" s="389">
        <f t="shared" si="13"/>
        <v>0</v>
      </c>
      <c r="G37" s="389">
        <f t="shared" ref="G37:L37" si="14">IF(Wärmeerzeugerleistung&gt;$A36,G12*12*Wärmeerzeugerleistung,0)</f>
        <v>0</v>
      </c>
      <c r="H37" s="389">
        <f t="shared" si="14"/>
        <v>0</v>
      </c>
      <c r="I37" s="389">
        <f t="shared" si="14"/>
        <v>0</v>
      </c>
      <c r="J37" s="389">
        <f t="shared" si="14"/>
        <v>0</v>
      </c>
      <c r="K37" s="389">
        <f t="shared" si="14"/>
        <v>0</v>
      </c>
      <c r="L37" s="390">
        <f t="shared" si="14"/>
        <v>0</v>
      </c>
    </row>
    <row r="38" spans="1:12">
      <c r="A38" s="268"/>
      <c r="B38" s="268"/>
      <c r="C38" s="268"/>
      <c r="D38" s="268"/>
      <c r="E38" s="268"/>
      <c r="F38" s="268"/>
      <c r="G38" s="268"/>
      <c r="H38" s="268"/>
      <c r="I38" s="268"/>
      <c r="J38" s="268"/>
      <c r="K38" s="268"/>
      <c r="L38" s="268"/>
    </row>
    <row r="39" spans="1:12">
      <c r="A39" s="231" t="s">
        <v>392</v>
      </c>
      <c r="B39" s="268"/>
      <c r="C39" s="268"/>
      <c r="D39" s="268"/>
      <c r="E39" s="268"/>
      <c r="F39" s="268"/>
      <c r="G39" s="268"/>
      <c r="H39" s="268"/>
      <c r="I39" s="268"/>
      <c r="J39" s="268"/>
      <c r="K39" s="268"/>
      <c r="L39" s="268"/>
    </row>
    <row r="40" spans="1:12">
      <c r="A40" s="248" t="s">
        <v>385</v>
      </c>
      <c r="B40" s="262"/>
      <c r="C40" s="263" t="s">
        <v>428</v>
      </c>
      <c r="D40" s="263"/>
      <c r="E40" s="262"/>
      <c r="F40" s="262"/>
      <c r="G40" s="262"/>
      <c r="H40" s="262"/>
      <c r="I40" s="262"/>
      <c r="J40" s="262"/>
      <c r="K40" s="262"/>
      <c r="L40" s="269"/>
    </row>
    <row r="41" spans="1:12">
      <c r="A41" s="250">
        <v>10</v>
      </c>
      <c r="B41" s="265"/>
      <c r="C41" s="265"/>
      <c r="D41" s="265"/>
      <c r="E41" s="387" t="e">
        <f>IF(Wärmeerzeugerleistung&lt;=$A41,E16*NEB/100,0)</f>
        <v>#VALUE!</v>
      </c>
      <c r="F41" s="387" t="e">
        <f>IF(Wärmeerzeugerleistung&lt;=$A41,F16*NEB/100,0)</f>
        <v>#VALUE!</v>
      </c>
      <c r="G41" s="387" t="e">
        <f>IF(Wärmeerzeugerleistung&lt;=$A41,G16*NEB/100,0)</f>
        <v>#VALUE!</v>
      </c>
      <c r="H41" s="387" t="e">
        <f>IF(Wärmeerzeugerleistung&lt;=$A41,H16*NEB/100,0)</f>
        <v>#VALUE!</v>
      </c>
      <c r="I41" s="387" t="e">
        <f>IF(Wärmeerzeugerleistung&lt;=$A41,I16*NEB/100,0)</f>
        <v>#VALUE!</v>
      </c>
      <c r="J41" s="387" t="e">
        <f>IF(Wärmeerzeugerleistung&lt;=$A41,J16*NEB/100,0)</f>
        <v>#VALUE!</v>
      </c>
      <c r="K41" s="387" t="e">
        <f>IF(Wärmeerzeugerleistung&lt;=$A41,K16*NEB/100,0)</f>
        <v>#VALUE!</v>
      </c>
      <c r="L41" s="388" t="e">
        <f>IF(Wärmeerzeugerleistung&lt;=$A41,L16*NEB/100,0)</f>
        <v>#VALUE!</v>
      </c>
    </row>
    <row r="42" spans="1:12">
      <c r="A42" s="250">
        <v>20</v>
      </c>
      <c r="B42" s="265"/>
      <c r="C42" s="265"/>
      <c r="D42" s="265"/>
      <c r="E42" s="387">
        <f>IF(AND(Wärmeerzeugerleistung&gt;$A41,Wärmeerzeugerleistung&lt;=$A42),E17*NEB/100,0)</f>
        <v>0</v>
      </c>
      <c r="F42" s="387">
        <f>IF(AND(Wärmeerzeugerleistung&gt;$A41,Wärmeerzeugerleistung&lt;=$A42),F17*NEB/100,0)</f>
        <v>0</v>
      </c>
      <c r="G42" s="387">
        <f>IF(AND(Wärmeerzeugerleistung&gt;$A41,Wärmeerzeugerleistung&lt;=$A42),G17*NEB/100,0)</f>
        <v>0</v>
      </c>
      <c r="H42" s="387">
        <f>IF(AND(Wärmeerzeugerleistung&gt;$A41,Wärmeerzeugerleistung&lt;=$A42),H17*NEB/100,0)</f>
        <v>0</v>
      </c>
      <c r="I42" s="387">
        <f>IF(AND(Wärmeerzeugerleistung&gt;$A41,Wärmeerzeugerleistung&lt;=$A42),I17*NEB/100,0)</f>
        <v>0</v>
      </c>
      <c r="J42" s="387">
        <f>IF(AND(Wärmeerzeugerleistung&gt;$A41,Wärmeerzeugerleistung&lt;=$A42),J17*NEB/100,0)</f>
        <v>0</v>
      </c>
      <c r="K42" s="387">
        <f>IF(AND(Wärmeerzeugerleistung&gt;$A41,Wärmeerzeugerleistung&lt;=$A42),K17*NEB/100,0)</f>
        <v>0</v>
      </c>
      <c r="L42" s="388">
        <f>IF(AND(Wärmeerzeugerleistung&gt;$A41,Wärmeerzeugerleistung&lt;=$A42),L17*NEB/100,0)</f>
        <v>0</v>
      </c>
    </row>
    <row r="43" spans="1:12">
      <c r="A43" s="250">
        <v>40</v>
      </c>
      <c r="B43" s="265"/>
      <c r="C43" s="265"/>
      <c r="D43" s="265"/>
      <c r="E43" s="387">
        <f>IF(AND(Wärmeerzeugerleistung&gt;$A42,Wärmeerzeugerleistung&lt;=$A43),E18*NEB/100,0)</f>
        <v>0</v>
      </c>
      <c r="F43" s="387">
        <f>IF(AND(Wärmeerzeugerleistung&gt;$A42,Wärmeerzeugerleistung&lt;=$A43),F18*NEB/100,0)</f>
        <v>0</v>
      </c>
      <c r="G43" s="387">
        <f>IF(AND(Wärmeerzeugerleistung&gt;$A42,Wärmeerzeugerleistung&lt;=$A43),G18*NEB/100,0)</f>
        <v>0</v>
      </c>
      <c r="H43" s="387">
        <f>IF(AND(Wärmeerzeugerleistung&gt;$A42,Wärmeerzeugerleistung&lt;=$A43),H18*NEB/100,0)</f>
        <v>0</v>
      </c>
      <c r="I43" s="387">
        <f>IF(AND(Wärmeerzeugerleistung&gt;$A42,Wärmeerzeugerleistung&lt;=$A43),I18*NEB/100,0)</f>
        <v>0</v>
      </c>
      <c r="J43" s="387">
        <f>IF(AND(Wärmeerzeugerleistung&gt;$A42,Wärmeerzeugerleistung&lt;=$A43),J18*NEB/100,0)</f>
        <v>0</v>
      </c>
      <c r="K43" s="387">
        <f>IF(AND(Wärmeerzeugerleistung&gt;$A42,Wärmeerzeugerleistung&lt;=$A43),K18*NEB/100,0)</f>
        <v>0</v>
      </c>
      <c r="L43" s="388">
        <f>IF(AND(Wärmeerzeugerleistung&gt;$A42,Wärmeerzeugerleistung&lt;=$A43),L18*NEB/100,0)</f>
        <v>0</v>
      </c>
    </row>
    <row r="44" spans="1:12">
      <c r="A44" s="250">
        <v>60</v>
      </c>
      <c r="B44" s="265"/>
      <c r="C44" s="265"/>
      <c r="D44" s="265"/>
      <c r="E44" s="387">
        <f>IF(AND(Wärmeerzeugerleistung&gt;$A43,Wärmeerzeugerleistung&lt;=$A44),E19*NEB/100,0)</f>
        <v>0</v>
      </c>
      <c r="F44" s="387">
        <f>IF(AND(Wärmeerzeugerleistung&gt;$A43,Wärmeerzeugerleistung&lt;=$A44),F19*NEB/100,0)</f>
        <v>0</v>
      </c>
      <c r="G44" s="387">
        <f>IF(AND(Wärmeerzeugerleistung&gt;$A43,Wärmeerzeugerleistung&lt;=$A44),G19*NEB/100,0)</f>
        <v>0</v>
      </c>
      <c r="H44" s="387">
        <f>IF(AND(Wärmeerzeugerleistung&gt;$A43,Wärmeerzeugerleistung&lt;=$A44),H19*NEB/100,0)</f>
        <v>0</v>
      </c>
      <c r="I44" s="387">
        <f>IF(AND(Wärmeerzeugerleistung&gt;$A43,Wärmeerzeugerleistung&lt;=$A44),I19*NEB/100,0)</f>
        <v>0</v>
      </c>
      <c r="J44" s="387">
        <f>IF(AND(Wärmeerzeugerleistung&gt;$A43,Wärmeerzeugerleistung&lt;=$A44),J19*NEB/100,0)</f>
        <v>0</v>
      </c>
      <c r="K44" s="387">
        <f>IF(AND(Wärmeerzeugerleistung&gt;$A43,Wärmeerzeugerleistung&lt;=$A44),K19*NEB/100,0)</f>
        <v>0</v>
      </c>
      <c r="L44" s="388">
        <f>IF(AND(Wärmeerzeugerleistung&gt;$A43,Wärmeerzeugerleistung&lt;=$A44),L19*NEB/100,0)</f>
        <v>0</v>
      </c>
    </row>
    <row r="45" spans="1:12">
      <c r="A45" s="250">
        <v>80</v>
      </c>
      <c r="B45" s="265"/>
      <c r="C45" s="265"/>
      <c r="D45" s="265"/>
      <c r="E45" s="387">
        <f>IF(AND(Wärmeerzeugerleistung&gt;$A44,Wärmeerzeugerleistung&lt;=$A45),E20*NEB/100,0)</f>
        <v>0</v>
      </c>
      <c r="F45" s="387">
        <f>IF(AND(Wärmeerzeugerleistung&gt;$A44,Wärmeerzeugerleistung&lt;=$A45),F20*NEB/100,0)</f>
        <v>0</v>
      </c>
      <c r="G45" s="387">
        <f>IF(AND(Wärmeerzeugerleistung&gt;$A44,Wärmeerzeugerleistung&lt;=$A45),G20*NEB/100,0)</f>
        <v>0</v>
      </c>
      <c r="H45" s="387">
        <f>IF(AND(Wärmeerzeugerleistung&gt;$A44,Wärmeerzeugerleistung&lt;=$A45),H20*NEB/100,0)</f>
        <v>0</v>
      </c>
      <c r="I45" s="387">
        <f>IF(AND(Wärmeerzeugerleistung&gt;$A44,Wärmeerzeugerleistung&lt;=$A45),I20*NEB/100,0)</f>
        <v>0</v>
      </c>
      <c r="J45" s="387">
        <f>IF(AND(Wärmeerzeugerleistung&gt;$A44,Wärmeerzeugerleistung&lt;=$A45),J20*NEB/100,0)</f>
        <v>0</v>
      </c>
      <c r="K45" s="387">
        <f>IF(AND(Wärmeerzeugerleistung&gt;$A44,Wärmeerzeugerleistung&lt;=$A45),K20*NEB/100,0)</f>
        <v>0</v>
      </c>
      <c r="L45" s="388">
        <f>IF(AND(Wärmeerzeugerleistung&gt;$A44,Wärmeerzeugerleistung&lt;=$A45),L20*NEB/100,0)</f>
        <v>0</v>
      </c>
    </row>
    <row r="46" spans="1:12">
      <c r="A46" s="250">
        <v>120</v>
      </c>
      <c r="B46" s="265"/>
      <c r="C46" s="265"/>
      <c r="D46" s="265"/>
      <c r="E46" s="387">
        <f>IF(AND(Wärmeerzeugerleistung&gt;$A45,Wärmeerzeugerleistung&lt;=$A46),E21*NEB/100,0)</f>
        <v>0</v>
      </c>
      <c r="F46" s="387">
        <f>IF(AND(Wärmeerzeugerleistung&gt;$A45,Wärmeerzeugerleistung&lt;=$A46),F21*NEB/100,0)</f>
        <v>0</v>
      </c>
      <c r="G46" s="387">
        <f>IF(AND(Wärmeerzeugerleistung&gt;$A45,Wärmeerzeugerleistung&lt;=$A46),G21*NEB/100,0)</f>
        <v>0</v>
      </c>
      <c r="H46" s="387">
        <f>IF(AND(Wärmeerzeugerleistung&gt;$A45,Wärmeerzeugerleistung&lt;=$A46),H21*NEB/100,0)</f>
        <v>0</v>
      </c>
      <c r="I46" s="387">
        <f>IF(AND(Wärmeerzeugerleistung&gt;$A45,Wärmeerzeugerleistung&lt;=$A46),I21*NEB/100,0)</f>
        <v>0</v>
      </c>
      <c r="J46" s="387">
        <f>IF(AND(Wärmeerzeugerleistung&gt;$A45,Wärmeerzeugerleistung&lt;=$A46),J21*NEB/100,0)</f>
        <v>0</v>
      </c>
      <c r="K46" s="387">
        <f>IF(AND(Wärmeerzeugerleistung&gt;$A45,Wärmeerzeugerleistung&lt;=$A46),K21*NEB/100,0)</f>
        <v>0</v>
      </c>
      <c r="L46" s="388">
        <f>IF(AND(Wärmeerzeugerleistung&gt;$A45,Wärmeerzeugerleistung&lt;=$A46),L21*NEB/100,0)</f>
        <v>0</v>
      </c>
    </row>
    <row r="47" spans="1:12">
      <c r="A47" s="250">
        <v>250</v>
      </c>
      <c r="B47" s="265"/>
      <c r="C47" s="265"/>
      <c r="D47" s="265"/>
      <c r="E47" s="387">
        <f>IF(AND(Wärmeerzeugerleistung&gt;$A46,Wärmeerzeugerleistung&lt;=$A47),E22*NEB/100,0)</f>
        <v>0</v>
      </c>
      <c r="F47" s="387">
        <f>IF(AND(Wärmeerzeugerleistung&gt;$A46,Wärmeerzeugerleistung&lt;=$A47),F22*NEB/100,0)</f>
        <v>0</v>
      </c>
      <c r="G47" s="387">
        <f>IF(AND(Wärmeerzeugerleistung&gt;$A46,Wärmeerzeugerleistung&lt;=$A47),G22*NEB/100,0)</f>
        <v>0</v>
      </c>
      <c r="H47" s="387">
        <f>IF(AND(Wärmeerzeugerleistung&gt;$A46,Wärmeerzeugerleistung&lt;=$A47),H22*NEB/100,0)</f>
        <v>0</v>
      </c>
      <c r="I47" s="387">
        <f>IF(AND(Wärmeerzeugerleistung&gt;$A46,Wärmeerzeugerleistung&lt;=$A47),I22*NEB/100,0)</f>
        <v>0</v>
      </c>
      <c r="J47" s="387">
        <f>IF(AND(Wärmeerzeugerleistung&gt;$A46,Wärmeerzeugerleistung&lt;=$A47),J22*NEB/100,0)</f>
        <v>0</v>
      </c>
      <c r="K47" s="387">
        <f>IF(AND(Wärmeerzeugerleistung&gt;$A46,Wärmeerzeugerleistung&lt;=$A47),K22*NEB/100,0)</f>
        <v>0</v>
      </c>
      <c r="L47" s="388">
        <f>IF(AND(Wärmeerzeugerleistung&gt;$A46,Wärmeerzeugerleistung&lt;=$A47),L22*NEB/100,0)</f>
        <v>0</v>
      </c>
    </row>
    <row r="48" spans="1:12">
      <c r="A48" s="266" t="s">
        <v>405</v>
      </c>
      <c r="B48" s="267"/>
      <c r="C48" s="267"/>
      <c r="D48" s="267"/>
      <c r="E48" s="389">
        <f>IF(Wärmeerzeugerleistung&gt;$A47,E23*NEB/100,0)</f>
        <v>0</v>
      </c>
      <c r="F48" s="389">
        <f>IF(Wärmeerzeugerleistung&gt;$A47,F23*NEB/100,0)</f>
        <v>0</v>
      </c>
      <c r="G48" s="389">
        <f>IF(Wärmeerzeugerleistung&gt;$A47,G23*NEB/100,0)</f>
        <v>0</v>
      </c>
      <c r="H48" s="389">
        <f>IF(Wärmeerzeugerleistung&gt;$A47,H23*NEB/100,0)</f>
        <v>0</v>
      </c>
      <c r="I48" s="389">
        <f>IF(Wärmeerzeugerleistung&gt;$A47,I23*NEB/100,0)</f>
        <v>0</v>
      </c>
      <c r="J48" s="389">
        <f>IF(Wärmeerzeugerleistung&gt;$A47,J23*NEB/100,0)</f>
        <v>0</v>
      </c>
      <c r="K48" s="389">
        <f>IF(Wärmeerzeugerleistung&gt;$A47,K23*NEB/100,0)</f>
        <v>0</v>
      </c>
      <c r="L48" s="390">
        <f>IF(Wärmeerzeugerleistung&gt;$A47,L23*NEB/100,0)</f>
        <v>0</v>
      </c>
    </row>
    <row r="49" spans="1:12">
      <c r="A49" s="252" t="s">
        <v>393</v>
      </c>
      <c r="B49" s="253"/>
      <c r="C49" s="393"/>
      <c r="D49" s="393"/>
      <c r="E49" s="393" t="e">
        <f>SUM(E30:E37,E41:E48)</f>
        <v>#VALUE!</v>
      </c>
      <c r="F49" s="393" t="e">
        <f>SUM(F30:F37,F41:F48)</f>
        <v>#VALUE!</v>
      </c>
      <c r="G49" s="393" t="e">
        <f>SUM(G30:G37,G41:G48)</f>
        <v>#VALUE!</v>
      </c>
      <c r="H49" s="393" t="e">
        <f>SUM(H30:H37,H41:H48)</f>
        <v>#VALUE!</v>
      </c>
      <c r="I49" s="393" t="e">
        <f>SUM(I30:I37,I41:I48)</f>
        <v>#VALUE!</v>
      </c>
      <c r="J49" s="393" t="e">
        <f t="shared" ref="J49:K49" si="15">SUM(J30:J37,J41:J48)</f>
        <v>#VALUE!</v>
      </c>
      <c r="K49" s="393" t="e">
        <f t="shared" si="15"/>
        <v>#VALUE!</v>
      </c>
      <c r="L49" s="394" t="e">
        <f>SUM(L30:L37,L41:L48)</f>
        <v>#VALUE!</v>
      </c>
    </row>
    <row r="50" spans="1:12" ht="15.75" thickBot="1"/>
    <row r="51" spans="1:12" ht="15.75" thickBot="1">
      <c r="A51" s="254" t="s">
        <v>394</v>
      </c>
      <c r="B51" s="255"/>
      <c r="C51" s="395" t="e">
        <f>C49/NEB*100</f>
        <v>#VALUE!</v>
      </c>
      <c r="D51" s="395" t="e">
        <f>D49/NEB*100</f>
        <v>#VALUE!</v>
      </c>
      <c r="E51" s="395" t="e">
        <f>E49/NEB*100</f>
        <v>#VALUE!</v>
      </c>
      <c r="F51" s="395" t="e">
        <f>F49/NEB*100</f>
        <v>#VALUE!</v>
      </c>
      <c r="G51" s="395" t="e">
        <f>G49/NEB*100</f>
        <v>#VALUE!</v>
      </c>
      <c r="H51" s="395" t="e">
        <f>H49/NEB*100</f>
        <v>#VALUE!</v>
      </c>
      <c r="I51" s="395" t="e">
        <f>I49/NEB*100</f>
        <v>#VALUE!</v>
      </c>
      <c r="J51" s="395" t="e">
        <f>J49/NEB*100</f>
        <v>#VALUE!</v>
      </c>
      <c r="K51" s="395" t="e">
        <f>K49/NEB*100</f>
        <v>#VALUE!</v>
      </c>
      <c r="L51" s="396" t="e">
        <f>L49/NEB*100</f>
        <v>#VALUE!</v>
      </c>
    </row>
    <row r="54" spans="1:12">
      <c r="A54" s="538" t="s">
        <v>418</v>
      </c>
      <c r="B54" s="538"/>
      <c r="C54" s="538"/>
    </row>
    <row r="55" spans="1:12">
      <c r="A55" s="538"/>
      <c r="B55" s="538"/>
      <c r="C55" s="538"/>
    </row>
    <row r="56" spans="1:12">
      <c r="A56" s="225" t="s">
        <v>374</v>
      </c>
      <c r="B56" s="226"/>
      <c r="C56" s="226"/>
      <c r="D56" s="226"/>
      <c r="E56" s="226"/>
      <c r="F56" s="226"/>
      <c r="G56" s="226"/>
      <c r="H56" s="226"/>
      <c r="I56" s="226"/>
      <c r="J56" s="226"/>
      <c r="K56" s="226"/>
      <c r="L56" s="226"/>
    </row>
    <row r="57" spans="1:12">
      <c r="A57" s="237" t="s">
        <v>385</v>
      </c>
      <c r="B57" s="238"/>
      <c r="C57" s="239" t="s">
        <v>426</v>
      </c>
      <c r="D57" s="239"/>
      <c r="E57" s="239">
        <v>2026</v>
      </c>
      <c r="F57" s="239">
        <v>2025</v>
      </c>
      <c r="G57" s="239">
        <v>2024</v>
      </c>
      <c r="H57" s="239">
        <v>2023</v>
      </c>
      <c r="I57" s="239">
        <v>2022</v>
      </c>
      <c r="J57" s="239">
        <v>2021</v>
      </c>
      <c r="K57" s="239">
        <v>2020</v>
      </c>
      <c r="L57" s="240">
        <v>2019</v>
      </c>
    </row>
    <row r="58" spans="1:12">
      <c r="A58" s="241">
        <v>10</v>
      </c>
      <c r="B58" s="242"/>
      <c r="C58" s="242"/>
      <c r="D58" s="242"/>
      <c r="E58" s="242">
        <v>13.06</v>
      </c>
      <c r="F58" s="242">
        <v>13.04</v>
      </c>
      <c r="G58" s="384">
        <v>12.9</v>
      </c>
      <c r="H58" s="384">
        <v>12.64</v>
      </c>
      <c r="I58" s="384">
        <v>12.29</v>
      </c>
      <c r="J58" s="384">
        <v>12.21</v>
      </c>
      <c r="K58" s="384">
        <v>12.3</v>
      </c>
      <c r="L58" s="243">
        <v>11.67</v>
      </c>
    </row>
    <row r="59" spans="1:12">
      <c r="A59" s="241">
        <v>20</v>
      </c>
      <c r="B59" s="242"/>
      <c r="C59" s="242"/>
      <c r="D59" s="242"/>
      <c r="E59" s="242">
        <v>12.42</v>
      </c>
      <c r="F59" s="242">
        <v>12.4</v>
      </c>
      <c r="G59" s="384">
        <v>12.27</v>
      </c>
      <c r="H59" s="384">
        <v>12.02</v>
      </c>
      <c r="I59" s="384">
        <v>11.69</v>
      </c>
      <c r="J59" s="384">
        <v>11.62</v>
      </c>
      <c r="K59" s="384">
        <v>11.7</v>
      </c>
      <c r="L59" s="243">
        <v>10.86</v>
      </c>
    </row>
    <row r="60" spans="1:12">
      <c r="A60" s="241">
        <v>40</v>
      </c>
      <c r="B60" s="242"/>
      <c r="C60" s="242"/>
      <c r="D60" s="242"/>
      <c r="E60" s="242">
        <v>11.79</v>
      </c>
      <c r="F60" s="242">
        <v>11.76</v>
      </c>
      <c r="G60" s="384">
        <v>11.64</v>
      </c>
      <c r="H60" s="384">
        <v>11.4</v>
      </c>
      <c r="I60" s="384">
        <v>11.09</v>
      </c>
      <c r="J60" s="384">
        <v>11.02</v>
      </c>
      <c r="K60" s="384">
        <v>11.1</v>
      </c>
      <c r="L60" s="243">
        <v>10.050000000000001</v>
      </c>
    </row>
    <row r="61" spans="1:12">
      <c r="A61" s="241">
        <v>60</v>
      </c>
      <c r="B61" s="242"/>
      <c r="C61" s="242"/>
      <c r="D61" s="242"/>
      <c r="E61" s="242">
        <v>11.25</v>
      </c>
      <c r="F61" s="242">
        <v>11.23</v>
      </c>
      <c r="G61" s="384">
        <v>11.12</v>
      </c>
      <c r="H61" s="384">
        <v>10.89</v>
      </c>
      <c r="I61" s="384">
        <v>10.59</v>
      </c>
      <c r="J61" s="384">
        <v>10.53</v>
      </c>
      <c r="K61" s="384">
        <v>10.6</v>
      </c>
      <c r="L61" s="243">
        <v>9.85</v>
      </c>
    </row>
    <row r="62" spans="1:12">
      <c r="A62" s="241">
        <v>80</v>
      </c>
      <c r="B62" s="242"/>
      <c r="C62" s="242"/>
      <c r="D62" s="242"/>
      <c r="E62" s="242">
        <v>11.2</v>
      </c>
      <c r="F62" s="242">
        <v>11.18</v>
      </c>
      <c r="G62" s="384">
        <v>11.07</v>
      </c>
      <c r="H62" s="384">
        <v>10.84</v>
      </c>
      <c r="I62" s="384">
        <v>10.54</v>
      </c>
      <c r="J62" s="384">
        <v>10.48</v>
      </c>
      <c r="K62" s="384">
        <v>10.55</v>
      </c>
      <c r="L62" s="243">
        <v>9.7899999999999991</v>
      </c>
    </row>
    <row r="63" spans="1:12">
      <c r="A63" s="241">
        <v>120</v>
      </c>
      <c r="B63" s="242"/>
      <c r="C63" s="242"/>
      <c r="D63" s="242"/>
      <c r="E63" s="242">
        <v>10.62</v>
      </c>
      <c r="F63" s="242">
        <v>10.6</v>
      </c>
      <c r="G63" s="384">
        <v>10.49</v>
      </c>
      <c r="H63" s="384">
        <v>10.27</v>
      </c>
      <c r="I63" s="384">
        <v>9.99</v>
      </c>
      <c r="J63" s="384">
        <v>9.93</v>
      </c>
      <c r="K63" s="384">
        <v>10</v>
      </c>
      <c r="L63" s="243">
        <v>9.24</v>
      </c>
    </row>
    <row r="64" spans="1:12">
      <c r="A64" s="241">
        <v>180</v>
      </c>
      <c r="B64" s="242"/>
      <c r="C64" s="242"/>
      <c r="D64" s="242"/>
      <c r="E64" s="242">
        <v>10.51</v>
      </c>
      <c r="F64" s="242">
        <v>10.49</v>
      </c>
      <c r="G64" s="384">
        <v>10.39</v>
      </c>
      <c r="H64" s="384">
        <v>10.17</v>
      </c>
      <c r="I64" s="384">
        <v>9.89</v>
      </c>
      <c r="J64" s="384">
        <v>9.83</v>
      </c>
      <c r="K64" s="384">
        <v>9.9</v>
      </c>
      <c r="L64" s="243">
        <v>9.08</v>
      </c>
    </row>
    <row r="65" spans="1:12">
      <c r="A65" s="241">
        <v>250</v>
      </c>
      <c r="B65" s="242"/>
      <c r="C65" s="242"/>
      <c r="D65" s="242"/>
      <c r="E65" s="242">
        <v>10.14</v>
      </c>
      <c r="F65" s="242">
        <v>10.119999999999999</v>
      </c>
      <c r="G65" s="384">
        <v>10.02</v>
      </c>
      <c r="H65" s="384">
        <v>9.81</v>
      </c>
      <c r="I65" s="384">
        <v>9.5399999999999991</v>
      </c>
      <c r="J65" s="384">
        <v>9.48</v>
      </c>
      <c r="K65" s="384">
        <v>9.5500000000000007</v>
      </c>
      <c r="L65" s="243">
        <v>8.7799999999999994</v>
      </c>
    </row>
    <row r="66" spans="1:12">
      <c r="A66" s="257">
        <v>500</v>
      </c>
      <c r="B66" s="258"/>
      <c r="C66" s="258"/>
      <c r="D66" s="258"/>
      <c r="E66" s="258">
        <v>10.09</v>
      </c>
      <c r="F66" s="258">
        <v>10.07</v>
      </c>
      <c r="G66" s="386">
        <v>9.9700000000000006</v>
      </c>
      <c r="H66" s="386">
        <v>9.76</v>
      </c>
      <c r="I66" s="386">
        <v>9.49</v>
      </c>
      <c r="J66" s="386">
        <v>9.43</v>
      </c>
      <c r="K66" s="386">
        <v>9.5</v>
      </c>
      <c r="L66" s="259">
        <v>8.73</v>
      </c>
    </row>
    <row r="67" spans="1:12">
      <c r="A67" s="244" t="s">
        <v>405</v>
      </c>
      <c r="B67" s="245"/>
      <c r="C67" s="245"/>
      <c r="D67" s="245"/>
      <c r="E67" s="245">
        <v>10.029999999999999</v>
      </c>
      <c r="F67" s="245">
        <v>10.02</v>
      </c>
      <c r="G67" s="385">
        <v>9.91</v>
      </c>
      <c r="H67" s="385">
        <v>9.7100000000000009</v>
      </c>
      <c r="I67" s="385">
        <v>9.44</v>
      </c>
      <c r="J67" s="385">
        <v>9.3800000000000008</v>
      </c>
      <c r="K67" s="385">
        <v>9.4499999999999993</v>
      </c>
      <c r="L67" s="246">
        <v>8.6300000000000008</v>
      </c>
    </row>
    <row r="68" spans="1:12">
      <c r="A68" s="228"/>
      <c r="B68" s="228"/>
      <c r="C68" s="228"/>
      <c r="D68" s="228"/>
      <c r="E68" s="228"/>
      <c r="F68" s="228"/>
      <c r="G68" s="228"/>
      <c r="H68" s="228"/>
      <c r="I68" s="228"/>
      <c r="J68" s="228"/>
      <c r="K68" s="228"/>
      <c r="L68" s="228"/>
    </row>
    <row r="69" spans="1:12">
      <c r="A69" s="227" t="s">
        <v>392</v>
      </c>
      <c r="B69" s="228"/>
      <c r="C69" s="228"/>
      <c r="D69" s="228"/>
      <c r="E69" s="228"/>
      <c r="F69" s="228"/>
      <c r="G69" s="228"/>
      <c r="H69" s="228"/>
      <c r="I69" s="228"/>
      <c r="J69" s="228"/>
      <c r="K69" s="228"/>
      <c r="L69" s="228"/>
    </row>
    <row r="70" spans="1:12">
      <c r="A70" s="237" t="s">
        <v>385</v>
      </c>
      <c r="B70" s="238"/>
      <c r="C70" s="239" t="s">
        <v>427</v>
      </c>
      <c r="D70" s="239"/>
      <c r="E70" s="238"/>
      <c r="F70" s="238"/>
      <c r="G70" s="238"/>
      <c r="H70" s="238"/>
      <c r="I70" s="238"/>
      <c r="J70" s="238"/>
      <c r="K70" s="238"/>
      <c r="L70" s="247"/>
    </row>
    <row r="71" spans="1:12">
      <c r="A71" s="241">
        <v>10</v>
      </c>
      <c r="B71" s="242"/>
      <c r="C71" s="242"/>
      <c r="D71" s="242"/>
      <c r="E71" s="242">
        <v>16.07</v>
      </c>
      <c r="F71" s="242">
        <v>17.07</v>
      </c>
      <c r="G71" s="242">
        <v>15.97</v>
      </c>
      <c r="H71" s="384">
        <v>13.68</v>
      </c>
      <c r="I71" s="384">
        <v>12.39</v>
      </c>
      <c r="J71" s="384">
        <v>12.31</v>
      </c>
      <c r="K71" s="384">
        <v>12.5</v>
      </c>
      <c r="L71" s="243">
        <v>11.69</v>
      </c>
    </row>
    <row r="72" spans="1:12">
      <c r="A72" s="241">
        <v>20</v>
      </c>
      <c r="B72" s="242"/>
      <c r="C72" s="242"/>
      <c r="D72" s="242"/>
      <c r="E72" s="242">
        <v>15.04</v>
      </c>
      <c r="F72" s="242">
        <v>15.98</v>
      </c>
      <c r="G72" s="242">
        <v>14.95</v>
      </c>
      <c r="H72" s="384">
        <v>12.8</v>
      </c>
      <c r="I72" s="384">
        <v>11.6</v>
      </c>
      <c r="J72" s="384">
        <v>11.53</v>
      </c>
      <c r="K72" s="384">
        <v>11.7</v>
      </c>
      <c r="L72" s="243">
        <v>10.87</v>
      </c>
    </row>
    <row r="73" spans="1:12">
      <c r="A73" s="241">
        <v>40</v>
      </c>
      <c r="B73" s="242"/>
      <c r="C73" s="242"/>
      <c r="D73" s="242"/>
      <c r="E73" s="242">
        <v>14.08</v>
      </c>
      <c r="F73" s="242">
        <v>14.95</v>
      </c>
      <c r="G73" s="242">
        <v>13.99</v>
      </c>
      <c r="H73" s="384">
        <v>11.98</v>
      </c>
      <c r="I73" s="384">
        <v>10.86</v>
      </c>
      <c r="J73" s="384">
        <v>10.79</v>
      </c>
      <c r="K73" s="384">
        <v>10.95</v>
      </c>
      <c r="L73" s="243">
        <v>10.1</v>
      </c>
    </row>
    <row r="74" spans="1:12">
      <c r="A74" s="241">
        <v>60</v>
      </c>
      <c r="B74" s="242"/>
      <c r="C74" s="242"/>
      <c r="D74" s="242"/>
      <c r="E74" s="242">
        <v>13.76</v>
      </c>
      <c r="F74" s="242">
        <v>14.61</v>
      </c>
      <c r="G74" s="242">
        <v>13.67</v>
      </c>
      <c r="H74" s="384">
        <v>11.71</v>
      </c>
      <c r="I74" s="384">
        <v>10.61</v>
      </c>
      <c r="J74" s="384">
        <v>10.54</v>
      </c>
      <c r="K74" s="384">
        <v>10.7</v>
      </c>
      <c r="L74" s="243">
        <v>9.84</v>
      </c>
    </row>
    <row r="75" spans="1:12">
      <c r="A75" s="241">
        <v>80</v>
      </c>
      <c r="B75" s="242"/>
      <c r="C75" s="242"/>
      <c r="D75" s="242"/>
      <c r="E75" s="242">
        <v>13.63</v>
      </c>
      <c r="F75" s="242">
        <v>14.48</v>
      </c>
      <c r="G75" s="242">
        <v>13.55</v>
      </c>
      <c r="H75" s="384">
        <v>11.6</v>
      </c>
      <c r="I75" s="384">
        <v>10.51</v>
      </c>
      <c r="J75" s="384">
        <v>10.44</v>
      </c>
      <c r="K75" s="384">
        <v>10.6</v>
      </c>
      <c r="L75" s="243">
        <v>9.74</v>
      </c>
    </row>
    <row r="76" spans="1:12">
      <c r="A76" s="241">
        <v>120</v>
      </c>
      <c r="B76" s="242"/>
      <c r="C76" s="242"/>
      <c r="D76" s="242"/>
      <c r="E76" s="242">
        <v>13.11</v>
      </c>
      <c r="F76" s="242">
        <v>13.93</v>
      </c>
      <c r="G76" s="242">
        <v>13.03</v>
      </c>
      <c r="H76" s="384">
        <v>11.16</v>
      </c>
      <c r="I76" s="384">
        <v>10.11</v>
      </c>
      <c r="J76" s="384">
        <v>10.050000000000001</v>
      </c>
      <c r="K76" s="384">
        <v>10.199999999999999</v>
      </c>
      <c r="L76" s="243">
        <v>9.33</v>
      </c>
    </row>
    <row r="77" spans="1:12">
      <c r="A77" s="241">
        <v>180</v>
      </c>
      <c r="B77" s="242"/>
      <c r="C77" s="242"/>
      <c r="D77" s="242"/>
      <c r="E77" s="242">
        <v>12.92</v>
      </c>
      <c r="F77" s="242">
        <v>13.73</v>
      </c>
      <c r="G77" s="242">
        <v>12.84</v>
      </c>
      <c r="H77" s="384">
        <v>11</v>
      </c>
      <c r="I77" s="384">
        <v>9.9600000000000009</v>
      </c>
      <c r="J77" s="384">
        <v>9.9</v>
      </c>
      <c r="K77" s="384">
        <v>10.050000000000001</v>
      </c>
      <c r="L77" s="243">
        <v>9.18</v>
      </c>
    </row>
    <row r="78" spans="1:12">
      <c r="A78" s="241">
        <v>250</v>
      </c>
      <c r="B78" s="242"/>
      <c r="C78" s="242"/>
      <c r="D78" s="242"/>
      <c r="E78" s="242">
        <v>12.73</v>
      </c>
      <c r="F78" s="242">
        <v>13.52</v>
      </c>
      <c r="G78" s="242">
        <v>12.65</v>
      </c>
      <c r="H78" s="384">
        <v>10.83</v>
      </c>
      <c r="I78" s="384">
        <v>9.82</v>
      </c>
      <c r="J78" s="384">
        <v>9.75</v>
      </c>
      <c r="K78" s="384">
        <v>9.9</v>
      </c>
      <c r="L78" s="243">
        <v>9.02</v>
      </c>
    </row>
    <row r="79" spans="1:12">
      <c r="A79" s="257">
        <v>500</v>
      </c>
      <c r="B79" s="258"/>
      <c r="C79" s="258"/>
      <c r="D79" s="258"/>
      <c r="E79" s="258">
        <v>12.6</v>
      </c>
      <c r="F79" s="258">
        <v>13.38</v>
      </c>
      <c r="G79" s="258">
        <v>12.52</v>
      </c>
      <c r="H79" s="386">
        <v>10.72</v>
      </c>
      <c r="I79" s="386">
        <v>9.7200000000000006</v>
      </c>
      <c r="J79" s="386">
        <v>9.65</v>
      </c>
      <c r="K79" s="386">
        <v>9.8000000000000007</v>
      </c>
      <c r="L79" s="259">
        <v>8.92</v>
      </c>
    </row>
    <row r="80" spans="1:12">
      <c r="A80" s="244" t="s">
        <v>405</v>
      </c>
      <c r="B80" s="245"/>
      <c r="C80" s="245"/>
      <c r="D80" s="245"/>
      <c r="E80" s="245">
        <v>12.53</v>
      </c>
      <c r="F80" s="245">
        <v>13.32</v>
      </c>
      <c r="G80" s="245">
        <v>12.46</v>
      </c>
      <c r="H80" s="385">
        <v>10.67</v>
      </c>
      <c r="I80" s="385">
        <v>9.67</v>
      </c>
      <c r="J80" s="385">
        <v>9.6</v>
      </c>
      <c r="K80" s="385">
        <v>9.75</v>
      </c>
      <c r="L80" s="246">
        <v>8.8699999999999992</v>
      </c>
    </row>
    <row r="83" spans="1:12">
      <c r="A83" s="229" t="s">
        <v>391</v>
      </c>
      <c r="B83" s="230"/>
      <c r="C83" s="230"/>
      <c r="D83" s="230"/>
      <c r="E83" s="230"/>
      <c r="F83" s="230"/>
      <c r="G83" s="230"/>
      <c r="H83" s="230"/>
      <c r="I83" s="230"/>
      <c r="J83" s="230"/>
      <c r="K83" s="230"/>
      <c r="L83" s="230"/>
    </row>
    <row r="84" spans="1:12">
      <c r="A84" s="229"/>
      <c r="B84" s="230"/>
      <c r="C84" s="230"/>
      <c r="D84" s="230"/>
      <c r="E84" s="230"/>
      <c r="F84" s="230"/>
      <c r="G84" s="230"/>
      <c r="H84" s="230"/>
      <c r="I84" s="230"/>
      <c r="J84" s="230"/>
      <c r="K84" s="230"/>
      <c r="L84" s="230"/>
    </row>
    <row r="85" spans="1:12">
      <c r="A85" s="229" t="s">
        <v>374</v>
      </c>
      <c r="B85" s="230"/>
      <c r="C85" s="230"/>
      <c r="D85" s="230"/>
      <c r="E85" s="230"/>
      <c r="F85" s="230"/>
      <c r="G85" s="230"/>
      <c r="H85" s="230"/>
      <c r="I85" s="230"/>
      <c r="J85" s="230"/>
      <c r="K85" s="230"/>
      <c r="L85" s="230"/>
    </row>
    <row r="86" spans="1:12">
      <c r="A86" s="248" t="s">
        <v>385</v>
      </c>
      <c r="B86" s="262"/>
      <c r="C86" s="263" t="s">
        <v>428</v>
      </c>
      <c r="D86" s="263"/>
      <c r="E86" s="263">
        <v>2026</v>
      </c>
      <c r="F86" s="263">
        <v>2025</v>
      </c>
      <c r="G86" s="263">
        <v>2024</v>
      </c>
      <c r="H86" s="263">
        <v>2023</v>
      </c>
      <c r="I86" s="263">
        <v>2022</v>
      </c>
      <c r="J86" s="263">
        <v>2021</v>
      </c>
      <c r="K86" s="263">
        <v>2020</v>
      </c>
      <c r="L86" s="264">
        <v>2019</v>
      </c>
    </row>
    <row r="87" spans="1:12">
      <c r="A87" s="250">
        <v>10</v>
      </c>
      <c r="B87" s="265"/>
      <c r="C87" s="265"/>
      <c r="D87" s="265"/>
      <c r="E87" s="387">
        <f t="shared" ref="E87:F87" si="16">IF(Wärmeerzeugerleistung&lt;=$A87,E58*12*Wärmeerzeugerleistung,0)</f>
        <v>0</v>
      </c>
      <c r="F87" s="387">
        <f t="shared" si="16"/>
        <v>0</v>
      </c>
      <c r="G87" s="387">
        <f t="shared" ref="G87:L87" si="17">IF(Wärmeerzeugerleistung&lt;=$A87,G58*12*Wärmeerzeugerleistung,0)</f>
        <v>0</v>
      </c>
      <c r="H87" s="387">
        <f t="shared" si="17"/>
        <v>0</v>
      </c>
      <c r="I87" s="387">
        <f t="shared" si="17"/>
        <v>0</v>
      </c>
      <c r="J87" s="387">
        <f t="shared" si="17"/>
        <v>0</v>
      </c>
      <c r="K87" s="387">
        <f t="shared" si="17"/>
        <v>0</v>
      </c>
      <c r="L87" s="388">
        <f t="shared" si="17"/>
        <v>0</v>
      </c>
    </row>
    <row r="88" spans="1:12">
      <c r="A88" s="250">
        <v>20</v>
      </c>
      <c r="B88" s="265"/>
      <c r="C88" s="265"/>
      <c r="D88" s="265"/>
      <c r="E88" s="387">
        <f t="shared" ref="E88:F88" si="18">IF(AND(Wärmeerzeugerleistung&gt;$A87,Wärmeerzeugerleistung&lt;=$A88),E59*12*Wärmeerzeugerleistung,0)</f>
        <v>0</v>
      </c>
      <c r="F88" s="387">
        <f t="shared" si="18"/>
        <v>0</v>
      </c>
      <c r="G88" s="387">
        <f t="shared" ref="G88:H88" si="19">IF(AND(Wärmeerzeugerleistung&gt;$A87,Wärmeerzeugerleistung&lt;=$A88),G59*12*Wärmeerzeugerleistung,0)</f>
        <v>0</v>
      </c>
      <c r="H88" s="387">
        <f t="shared" si="19"/>
        <v>0</v>
      </c>
      <c r="I88" s="387">
        <f t="shared" ref="I88:L95" si="20">IF(AND(Wärmeerzeugerleistung&gt;$A87,Wärmeerzeugerleistung&lt;=$A88),I59*12*Wärmeerzeugerleistung,0)</f>
        <v>0</v>
      </c>
      <c r="J88" s="387">
        <f t="shared" si="20"/>
        <v>0</v>
      </c>
      <c r="K88" s="387">
        <f t="shared" si="20"/>
        <v>0</v>
      </c>
      <c r="L88" s="388">
        <f t="shared" si="20"/>
        <v>0</v>
      </c>
    </row>
    <row r="89" spans="1:12">
      <c r="A89" s="250">
        <v>40</v>
      </c>
      <c r="B89" s="265"/>
      <c r="C89" s="265"/>
      <c r="D89" s="265"/>
      <c r="E89" s="387">
        <f t="shared" ref="E89:F89" si="21">IF(AND(Wärmeerzeugerleistung&gt;$A88,Wärmeerzeugerleistung&lt;=$A89),E60*12*Wärmeerzeugerleistung,0)</f>
        <v>0</v>
      </c>
      <c r="F89" s="387">
        <f t="shared" si="21"/>
        <v>0</v>
      </c>
      <c r="G89" s="387">
        <f t="shared" ref="G89:H89" si="22">IF(AND(Wärmeerzeugerleistung&gt;$A88,Wärmeerzeugerleistung&lt;=$A89),G60*12*Wärmeerzeugerleistung,0)</f>
        <v>0</v>
      </c>
      <c r="H89" s="387">
        <f t="shared" si="22"/>
        <v>0</v>
      </c>
      <c r="I89" s="387">
        <f t="shared" si="20"/>
        <v>0</v>
      </c>
      <c r="J89" s="387">
        <f t="shared" si="20"/>
        <v>0</v>
      </c>
      <c r="K89" s="387">
        <f t="shared" si="20"/>
        <v>0</v>
      </c>
      <c r="L89" s="388">
        <f t="shared" si="20"/>
        <v>0</v>
      </c>
    </row>
    <row r="90" spans="1:12">
      <c r="A90" s="250">
        <v>60</v>
      </c>
      <c r="B90" s="265"/>
      <c r="C90" s="265"/>
      <c r="D90" s="265"/>
      <c r="E90" s="387">
        <f t="shared" ref="E90:F90" si="23">IF(AND(Wärmeerzeugerleistung&gt;$A89,Wärmeerzeugerleistung&lt;=$A90),E61*12*Wärmeerzeugerleistung,0)</f>
        <v>0</v>
      </c>
      <c r="F90" s="387">
        <f t="shared" si="23"/>
        <v>0</v>
      </c>
      <c r="G90" s="387">
        <f t="shared" ref="G90:H90" si="24">IF(AND(Wärmeerzeugerleistung&gt;$A89,Wärmeerzeugerleistung&lt;=$A90),G61*12*Wärmeerzeugerleistung,0)</f>
        <v>0</v>
      </c>
      <c r="H90" s="387">
        <f t="shared" si="24"/>
        <v>0</v>
      </c>
      <c r="I90" s="387">
        <f t="shared" si="20"/>
        <v>0</v>
      </c>
      <c r="J90" s="387">
        <f t="shared" si="20"/>
        <v>0</v>
      </c>
      <c r="K90" s="387">
        <f t="shared" si="20"/>
        <v>0</v>
      </c>
      <c r="L90" s="388">
        <f t="shared" si="20"/>
        <v>0</v>
      </c>
    </row>
    <row r="91" spans="1:12">
      <c r="A91" s="250">
        <v>80</v>
      </c>
      <c r="B91" s="265"/>
      <c r="C91" s="265"/>
      <c r="D91" s="265"/>
      <c r="E91" s="387">
        <f t="shared" ref="E91:F91" si="25">IF(AND(Wärmeerzeugerleistung&gt;$A90,Wärmeerzeugerleistung&lt;=$A91),E62*12*Wärmeerzeugerleistung,0)</f>
        <v>0</v>
      </c>
      <c r="F91" s="387">
        <f t="shared" si="25"/>
        <v>0</v>
      </c>
      <c r="G91" s="387">
        <f t="shared" ref="G91:H91" si="26">IF(AND(Wärmeerzeugerleistung&gt;$A90,Wärmeerzeugerleistung&lt;=$A91),G62*12*Wärmeerzeugerleistung,0)</f>
        <v>0</v>
      </c>
      <c r="H91" s="387">
        <f t="shared" si="26"/>
        <v>0</v>
      </c>
      <c r="I91" s="387">
        <f t="shared" si="20"/>
        <v>0</v>
      </c>
      <c r="J91" s="387">
        <f t="shared" si="20"/>
        <v>0</v>
      </c>
      <c r="K91" s="387">
        <f t="shared" si="20"/>
        <v>0</v>
      </c>
      <c r="L91" s="388">
        <f t="shared" si="20"/>
        <v>0</v>
      </c>
    </row>
    <row r="92" spans="1:12">
      <c r="A92" s="250">
        <v>120</v>
      </c>
      <c r="B92" s="265"/>
      <c r="C92" s="265"/>
      <c r="D92" s="265"/>
      <c r="E92" s="387">
        <f t="shared" ref="E92:F92" si="27">IF(AND(Wärmeerzeugerleistung&gt;$A91,Wärmeerzeugerleistung&lt;=$A92),E63*12*Wärmeerzeugerleistung,0)</f>
        <v>0</v>
      </c>
      <c r="F92" s="387">
        <f t="shared" si="27"/>
        <v>0</v>
      </c>
      <c r="G92" s="387">
        <f t="shared" ref="G92:H92" si="28">IF(AND(Wärmeerzeugerleistung&gt;$A91,Wärmeerzeugerleistung&lt;=$A92),G63*12*Wärmeerzeugerleistung,0)</f>
        <v>0</v>
      </c>
      <c r="H92" s="387">
        <f t="shared" si="28"/>
        <v>0</v>
      </c>
      <c r="I92" s="387">
        <f t="shared" si="20"/>
        <v>0</v>
      </c>
      <c r="J92" s="387">
        <f t="shared" si="20"/>
        <v>0</v>
      </c>
      <c r="K92" s="387">
        <f t="shared" si="20"/>
        <v>0</v>
      </c>
      <c r="L92" s="388">
        <f t="shared" si="20"/>
        <v>0</v>
      </c>
    </row>
    <row r="93" spans="1:12">
      <c r="A93" s="250">
        <v>180</v>
      </c>
      <c r="B93" s="265"/>
      <c r="C93" s="265"/>
      <c r="D93" s="265"/>
      <c r="E93" s="387">
        <f t="shared" ref="E93:F93" si="29">IF(AND(Wärmeerzeugerleistung&gt;$A92,Wärmeerzeugerleistung&lt;=$A93),E64*12*Wärmeerzeugerleistung,0)</f>
        <v>0</v>
      </c>
      <c r="F93" s="387">
        <f t="shared" si="29"/>
        <v>0</v>
      </c>
      <c r="G93" s="387">
        <f t="shared" ref="G93:H93" si="30">IF(AND(Wärmeerzeugerleistung&gt;$A92,Wärmeerzeugerleistung&lt;=$A93),G64*12*Wärmeerzeugerleistung,0)</f>
        <v>0</v>
      </c>
      <c r="H93" s="387">
        <f t="shared" si="30"/>
        <v>0</v>
      </c>
      <c r="I93" s="387">
        <f t="shared" si="20"/>
        <v>0</v>
      </c>
      <c r="J93" s="387">
        <f t="shared" si="20"/>
        <v>0</v>
      </c>
      <c r="K93" s="387">
        <f t="shared" si="20"/>
        <v>0</v>
      </c>
      <c r="L93" s="388">
        <f t="shared" si="20"/>
        <v>0</v>
      </c>
    </row>
    <row r="94" spans="1:12">
      <c r="A94" s="250">
        <v>250</v>
      </c>
      <c r="B94" s="265"/>
      <c r="C94" s="265"/>
      <c r="D94" s="265"/>
      <c r="E94" s="387">
        <f t="shared" ref="E94:F94" si="31">IF(AND(Wärmeerzeugerleistung&gt;$A93,Wärmeerzeugerleistung&lt;=$A94),E65*12*Wärmeerzeugerleistung,0)</f>
        <v>0</v>
      </c>
      <c r="F94" s="387">
        <f t="shared" si="31"/>
        <v>0</v>
      </c>
      <c r="G94" s="387">
        <f t="shared" ref="G94:H94" si="32">IF(AND(Wärmeerzeugerleistung&gt;$A93,Wärmeerzeugerleistung&lt;=$A94),G65*12*Wärmeerzeugerleistung,0)</f>
        <v>0</v>
      </c>
      <c r="H94" s="387">
        <f t="shared" si="32"/>
        <v>0</v>
      </c>
      <c r="I94" s="387">
        <f t="shared" si="20"/>
        <v>0</v>
      </c>
      <c r="J94" s="387">
        <f t="shared" si="20"/>
        <v>0</v>
      </c>
      <c r="K94" s="387">
        <f t="shared" si="20"/>
        <v>0</v>
      </c>
      <c r="L94" s="388">
        <f t="shared" si="20"/>
        <v>0</v>
      </c>
    </row>
    <row r="95" spans="1:12">
      <c r="A95" s="270">
        <v>500</v>
      </c>
      <c r="B95" s="271"/>
      <c r="C95" s="271"/>
      <c r="D95" s="271"/>
      <c r="E95" s="391">
        <f>IF(AND(Wärmeerzeugerleistung&gt;$A94,Wärmeerzeugerleistung&lt;=$A95),E66*12*Wärmeerzeugerleistung,0)</f>
        <v>0</v>
      </c>
      <c r="F95" s="391">
        <f>IF(AND(Wärmeerzeugerleistung&gt;$A94,Wärmeerzeugerleistung&lt;=$A95),F66*12*Wärmeerzeugerleistung,0)</f>
        <v>0</v>
      </c>
      <c r="G95" s="391">
        <f>IF(AND(Wärmeerzeugerleistung&gt;$A94,Wärmeerzeugerleistung&lt;=$A95),G66*12*Wärmeerzeugerleistung,0)</f>
        <v>0</v>
      </c>
      <c r="H95" s="391">
        <f>IF(AND(Wärmeerzeugerleistung&gt;$A94,Wärmeerzeugerleistung&lt;=$A95),H66*12*Wärmeerzeugerleistung,0)</f>
        <v>0</v>
      </c>
      <c r="I95" s="391">
        <f>IF(AND(Wärmeerzeugerleistung&gt;$A94,Wärmeerzeugerleistung&lt;=$A95),I66*12*Wärmeerzeugerleistung,0)</f>
        <v>0</v>
      </c>
      <c r="J95" s="391">
        <f t="shared" si="20"/>
        <v>0</v>
      </c>
      <c r="K95" s="391">
        <f t="shared" si="20"/>
        <v>0</v>
      </c>
      <c r="L95" s="392">
        <f t="shared" si="20"/>
        <v>0</v>
      </c>
    </row>
    <row r="96" spans="1:12">
      <c r="A96" s="266" t="s">
        <v>405</v>
      </c>
      <c r="B96" s="267"/>
      <c r="C96" s="267"/>
      <c r="D96" s="267"/>
      <c r="E96" s="389">
        <f t="shared" ref="E96:F96" si="33">IF(Wärmeerzeugerleistung&gt;$A95,E67*12*Wärmeerzeugerleistung,0)</f>
        <v>0</v>
      </c>
      <c r="F96" s="389">
        <f t="shared" si="33"/>
        <v>0</v>
      </c>
      <c r="G96" s="389">
        <f t="shared" ref="G96:L96" si="34">IF(Wärmeerzeugerleistung&gt;$A95,G67*12*Wärmeerzeugerleistung,0)</f>
        <v>0</v>
      </c>
      <c r="H96" s="389">
        <f t="shared" si="34"/>
        <v>0</v>
      </c>
      <c r="I96" s="389">
        <f t="shared" si="34"/>
        <v>0</v>
      </c>
      <c r="J96" s="389">
        <f t="shared" si="34"/>
        <v>0</v>
      </c>
      <c r="K96" s="389">
        <f t="shared" si="34"/>
        <v>0</v>
      </c>
      <c r="L96" s="390">
        <f t="shared" si="34"/>
        <v>0</v>
      </c>
    </row>
    <row r="97" spans="1:12">
      <c r="A97" s="268"/>
      <c r="B97" s="268"/>
      <c r="C97" s="268"/>
      <c r="D97" s="268"/>
      <c r="E97" s="268"/>
      <c r="F97" s="268"/>
      <c r="G97" s="268"/>
      <c r="H97" s="268"/>
      <c r="I97" s="268"/>
      <c r="J97" s="268"/>
      <c r="K97" s="268"/>
      <c r="L97" s="268"/>
    </row>
    <row r="98" spans="1:12">
      <c r="A98" s="231" t="s">
        <v>392</v>
      </c>
      <c r="B98" s="268"/>
      <c r="C98" s="268"/>
      <c r="D98" s="268"/>
      <c r="E98" s="268"/>
      <c r="F98" s="268"/>
      <c r="G98" s="268"/>
      <c r="H98" s="268"/>
      <c r="I98" s="268"/>
      <c r="J98" s="268"/>
      <c r="K98" s="268"/>
      <c r="L98" s="268"/>
    </row>
    <row r="99" spans="1:12">
      <c r="A99" s="248" t="s">
        <v>385</v>
      </c>
      <c r="B99" s="262"/>
      <c r="C99" s="263" t="s">
        <v>428</v>
      </c>
      <c r="D99" s="263"/>
      <c r="E99" s="262"/>
      <c r="F99" s="262"/>
      <c r="G99" s="262"/>
      <c r="H99" s="262"/>
      <c r="I99" s="262"/>
      <c r="J99" s="262"/>
      <c r="K99" s="262"/>
      <c r="L99" s="269"/>
    </row>
    <row r="100" spans="1:12">
      <c r="A100" s="250">
        <v>10</v>
      </c>
      <c r="B100" s="265"/>
      <c r="C100" s="265"/>
      <c r="D100" s="265"/>
      <c r="E100" s="387" t="e">
        <f>IF(Wärmeerzeugerleistung&lt;=$A100,E71*NEB/100,0)</f>
        <v>#VALUE!</v>
      </c>
      <c r="F100" s="387" t="e">
        <f>IF(Wärmeerzeugerleistung&lt;=$A100,F71*NEB/100,0)</f>
        <v>#VALUE!</v>
      </c>
      <c r="G100" s="387" t="e">
        <f>IF(Wärmeerzeugerleistung&lt;=$A100,G71*NEB/100,0)</f>
        <v>#VALUE!</v>
      </c>
      <c r="H100" s="387" t="e">
        <f>IF(Wärmeerzeugerleistung&lt;=$A100,H71*NEB/100,0)</f>
        <v>#VALUE!</v>
      </c>
      <c r="I100" s="387" t="e">
        <f>IF(Wärmeerzeugerleistung&lt;=$A100,I71*NEB/100,0)</f>
        <v>#VALUE!</v>
      </c>
      <c r="J100" s="387" t="e">
        <f>IF(Wärmeerzeugerleistung&lt;=$A100,J71*NEB/100,0)</f>
        <v>#VALUE!</v>
      </c>
      <c r="K100" s="387" t="e">
        <f>IF(Wärmeerzeugerleistung&lt;=$A100,K71*NEB/100,0)</f>
        <v>#VALUE!</v>
      </c>
      <c r="L100" s="388" t="e">
        <f>IF(Wärmeerzeugerleistung&lt;=$A100,L71*NEB/100,0)</f>
        <v>#VALUE!</v>
      </c>
    </row>
    <row r="101" spans="1:12">
      <c r="A101" s="250">
        <v>20</v>
      </c>
      <c r="B101" s="265"/>
      <c r="C101" s="265"/>
      <c r="D101" s="265"/>
      <c r="E101" s="387">
        <f>IF(AND(Wärmeerzeugerleistung&gt;$A100,Wärmeerzeugerleistung&lt;=$A101),E72*NEB/100,0)</f>
        <v>0</v>
      </c>
      <c r="F101" s="387">
        <f>IF(AND(Wärmeerzeugerleistung&gt;$A100,Wärmeerzeugerleistung&lt;=$A101),F72*NEB/100,0)</f>
        <v>0</v>
      </c>
      <c r="G101" s="387">
        <f>IF(AND(Wärmeerzeugerleistung&gt;$A100,Wärmeerzeugerleistung&lt;=$A101),G72*NEB/100,0)</f>
        <v>0</v>
      </c>
      <c r="H101" s="387">
        <f>IF(AND(Wärmeerzeugerleistung&gt;$A100,Wärmeerzeugerleistung&lt;=$A101),H72*NEB/100,0)</f>
        <v>0</v>
      </c>
      <c r="I101" s="387">
        <f>IF(AND(Wärmeerzeugerleistung&gt;$A100,Wärmeerzeugerleistung&lt;=$A101),I72*NEB/100,0)</f>
        <v>0</v>
      </c>
      <c r="J101" s="387">
        <f>IF(AND(Wärmeerzeugerleistung&gt;$A100,Wärmeerzeugerleistung&lt;=$A101),J72*NEB/100,0)</f>
        <v>0</v>
      </c>
      <c r="K101" s="387">
        <f>IF(AND(Wärmeerzeugerleistung&gt;$A100,Wärmeerzeugerleistung&lt;=$A101),K72*NEB/100,0)</f>
        <v>0</v>
      </c>
      <c r="L101" s="388">
        <f>IF(AND(Wärmeerzeugerleistung&gt;$A100,Wärmeerzeugerleistung&lt;=$A101),L72*NEB/100,0)</f>
        <v>0</v>
      </c>
    </row>
    <row r="102" spans="1:12">
      <c r="A102" s="250">
        <v>40</v>
      </c>
      <c r="B102" s="265"/>
      <c r="C102" s="265"/>
      <c r="D102" s="265"/>
      <c r="E102" s="387">
        <f>IF(AND(Wärmeerzeugerleistung&gt;$A101,Wärmeerzeugerleistung&lt;=$A102),E73*NEB/100,0)</f>
        <v>0</v>
      </c>
      <c r="F102" s="387">
        <f>IF(AND(Wärmeerzeugerleistung&gt;$A101,Wärmeerzeugerleistung&lt;=$A102),F73*NEB/100,0)</f>
        <v>0</v>
      </c>
      <c r="G102" s="387">
        <f>IF(AND(Wärmeerzeugerleistung&gt;$A101,Wärmeerzeugerleistung&lt;=$A102),G73*NEB/100,0)</f>
        <v>0</v>
      </c>
      <c r="H102" s="387">
        <f>IF(AND(Wärmeerzeugerleistung&gt;$A101,Wärmeerzeugerleistung&lt;=$A102),H73*NEB/100,0)</f>
        <v>0</v>
      </c>
      <c r="I102" s="387">
        <f>IF(AND(Wärmeerzeugerleistung&gt;$A101,Wärmeerzeugerleistung&lt;=$A102),I73*NEB/100,0)</f>
        <v>0</v>
      </c>
      <c r="J102" s="387">
        <f>IF(AND(Wärmeerzeugerleistung&gt;$A101,Wärmeerzeugerleistung&lt;=$A102),J73*NEB/100,0)</f>
        <v>0</v>
      </c>
      <c r="K102" s="387">
        <f>IF(AND(Wärmeerzeugerleistung&gt;$A101,Wärmeerzeugerleistung&lt;=$A102),K73*NEB/100,0)</f>
        <v>0</v>
      </c>
      <c r="L102" s="388">
        <f>IF(AND(Wärmeerzeugerleistung&gt;$A101,Wärmeerzeugerleistung&lt;=$A102),L73*NEB/100,0)</f>
        <v>0</v>
      </c>
    </row>
    <row r="103" spans="1:12">
      <c r="A103" s="250">
        <v>60</v>
      </c>
      <c r="B103" s="265"/>
      <c r="C103" s="265"/>
      <c r="D103" s="265"/>
      <c r="E103" s="387">
        <f>IF(AND(Wärmeerzeugerleistung&gt;$A102,Wärmeerzeugerleistung&lt;=$A103),E74*NEB/100,0)</f>
        <v>0</v>
      </c>
      <c r="F103" s="387">
        <f>IF(AND(Wärmeerzeugerleistung&gt;$A102,Wärmeerzeugerleistung&lt;=$A103),F74*NEB/100,0)</f>
        <v>0</v>
      </c>
      <c r="G103" s="387">
        <f>IF(AND(Wärmeerzeugerleistung&gt;$A102,Wärmeerzeugerleistung&lt;=$A103),G74*NEB/100,0)</f>
        <v>0</v>
      </c>
      <c r="H103" s="387">
        <f>IF(AND(Wärmeerzeugerleistung&gt;$A102,Wärmeerzeugerleistung&lt;=$A103),H74*NEB/100,0)</f>
        <v>0</v>
      </c>
      <c r="I103" s="387">
        <f>IF(AND(Wärmeerzeugerleistung&gt;$A102,Wärmeerzeugerleistung&lt;=$A103),I74*NEB/100,0)</f>
        <v>0</v>
      </c>
      <c r="J103" s="387">
        <f>IF(AND(Wärmeerzeugerleistung&gt;$A102,Wärmeerzeugerleistung&lt;=$A103),J74*NEB/100,0)</f>
        <v>0</v>
      </c>
      <c r="K103" s="387">
        <f>IF(AND(Wärmeerzeugerleistung&gt;$A102,Wärmeerzeugerleistung&lt;=$A103),K74*NEB/100,0)</f>
        <v>0</v>
      </c>
      <c r="L103" s="388">
        <f>IF(AND(Wärmeerzeugerleistung&gt;$A102,Wärmeerzeugerleistung&lt;=$A103),L74*NEB/100,0)</f>
        <v>0</v>
      </c>
    </row>
    <row r="104" spans="1:12">
      <c r="A104" s="250">
        <v>80</v>
      </c>
      <c r="B104" s="265"/>
      <c r="C104" s="265"/>
      <c r="D104" s="265"/>
      <c r="E104" s="387">
        <f>IF(AND(Wärmeerzeugerleistung&gt;$A103,Wärmeerzeugerleistung&lt;=$A104),E75*NEB/100,0)</f>
        <v>0</v>
      </c>
      <c r="F104" s="387">
        <f>IF(AND(Wärmeerzeugerleistung&gt;$A103,Wärmeerzeugerleistung&lt;=$A104),F75*NEB/100,0)</f>
        <v>0</v>
      </c>
      <c r="G104" s="387">
        <f>IF(AND(Wärmeerzeugerleistung&gt;$A103,Wärmeerzeugerleistung&lt;=$A104),G75*NEB/100,0)</f>
        <v>0</v>
      </c>
      <c r="H104" s="387">
        <f>IF(AND(Wärmeerzeugerleistung&gt;$A103,Wärmeerzeugerleistung&lt;=$A104),H75*NEB/100,0)</f>
        <v>0</v>
      </c>
      <c r="I104" s="387">
        <f>IF(AND(Wärmeerzeugerleistung&gt;$A103,Wärmeerzeugerleistung&lt;=$A104),I75*NEB/100,0)</f>
        <v>0</v>
      </c>
      <c r="J104" s="387">
        <f>IF(AND(Wärmeerzeugerleistung&gt;$A103,Wärmeerzeugerleistung&lt;=$A104),J75*NEB/100,0)</f>
        <v>0</v>
      </c>
      <c r="K104" s="387">
        <f>IF(AND(Wärmeerzeugerleistung&gt;$A103,Wärmeerzeugerleistung&lt;=$A104),K75*NEB/100,0)</f>
        <v>0</v>
      </c>
      <c r="L104" s="388">
        <f>IF(AND(Wärmeerzeugerleistung&gt;$A103,Wärmeerzeugerleistung&lt;=$A104),L75*NEB/100,0)</f>
        <v>0</v>
      </c>
    </row>
    <row r="105" spans="1:12">
      <c r="A105" s="250">
        <v>120</v>
      </c>
      <c r="B105" s="265"/>
      <c r="C105" s="265"/>
      <c r="D105" s="265"/>
      <c r="E105" s="387">
        <f>IF(AND(Wärmeerzeugerleistung&gt;$A104,Wärmeerzeugerleistung&lt;=$A105),E76*NEB/100,0)</f>
        <v>0</v>
      </c>
      <c r="F105" s="387">
        <f>IF(AND(Wärmeerzeugerleistung&gt;$A104,Wärmeerzeugerleistung&lt;=$A105),F76*NEB/100,0)</f>
        <v>0</v>
      </c>
      <c r="G105" s="387">
        <f>IF(AND(Wärmeerzeugerleistung&gt;$A104,Wärmeerzeugerleistung&lt;=$A105),G76*NEB/100,0)</f>
        <v>0</v>
      </c>
      <c r="H105" s="387">
        <f>IF(AND(Wärmeerzeugerleistung&gt;$A104,Wärmeerzeugerleistung&lt;=$A105),H76*NEB/100,0)</f>
        <v>0</v>
      </c>
      <c r="I105" s="387">
        <f>IF(AND(Wärmeerzeugerleistung&gt;$A104,Wärmeerzeugerleistung&lt;=$A105),I76*NEB/100,0)</f>
        <v>0</v>
      </c>
      <c r="J105" s="387">
        <f>IF(AND(Wärmeerzeugerleistung&gt;$A104,Wärmeerzeugerleistung&lt;=$A105),J76*NEB/100,0)</f>
        <v>0</v>
      </c>
      <c r="K105" s="387">
        <f>IF(AND(Wärmeerzeugerleistung&gt;$A104,Wärmeerzeugerleistung&lt;=$A105),K76*NEB/100,0)</f>
        <v>0</v>
      </c>
      <c r="L105" s="388">
        <f>IF(AND(Wärmeerzeugerleistung&gt;$A104,Wärmeerzeugerleistung&lt;=$A105),L76*NEB/100,0)</f>
        <v>0</v>
      </c>
    </row>
    <row r="106" spans="1:12">
      <c r="A106" s="250">
        <v>180</v>
      </c>
      <c r="B106" s="265"/>
      <c r="C106" s="265"/>
      <c r="D106" s="265"/>
      <c r="E106" s="387">
        <f>IF(AND(Wärmeerzeugerleistung&gt;$A105,Wärmeerzeugerleistung&lt;=$A106),E77*NEB/100,0)</f>
        <v>0</v>
      </c>
      <c r="F106" s="387">
        <f>IF(AND(Wärmeerzeugerleistung&gt;$A105,Wärmeerzeugerleistung&lt;=$A106),F77*NEB/100,0)</f>
        <v>0</v>
      </c>
      <c r="G106" s="387">
        <f>IF(AND(Wärmeerzeugerleistung&gt;$A105,Wärmeerzeugerleistung&lt;=$A106),G77*NEB/100,0)</f>
        <v>0</v>
      </c>
      <c r="H106" s="387">
        <f>IF(AND(Wärmeerzeugerleistung&gt;$A105,Wärmeerzeugerleistung&lt;=$A106),H77*NEB/100,0)</f>
        <v>0</v>
      </c>
      <c r="I106" s="387">
        <f>IF(AND(Wärmeerzeugerleistung&gt;$A105,Wärmeerzeugerleistung&lt;=$A106),I77*NEB/100,0)</f>
        <v>0</v>
      </c>
      <c r="J106" s="387">
        <f>IF(AND(Wärmeerzeugerleistung&gt;$A105,Wärmeerzeugerleistung&lt;=$A106),J77*NEB/100,0)</f>
        <v>0</v>
      </c>
      <c r="K106" s="387">
        <f>IF(AND(Wärmeerzeugerleistung&gt;$A105,Wärmeerzeugerleistung&lt;=$A106),K77*NEB/100,0)</f>
        <v>0</v>
      </c>
      <c r="L106" s="388">
        <f>IF(AND(Wärmeerzeugerleistung&gt;$A105,Wärmeerzeugerleistung&lt;=$A106),L77*NEB/100,0)</f>
        <v>0</v>
      </c>
    </row>
    <row r="107" spans="1:12">
      <c r="A107" s="250">
        <v>250</v>
      </c>
      <c r="B107" s="265"/>
      <c r="C107" s="265"/>
      <c r="D107" s="265"/>
      <c r="E107" s="387">
        <f>IF(AND(Wärmeerzeugerleistung&gt;$A106,Wärmeerzeugerleistung&lt;=$A107),E78*NEB/100,0)</f>
        <v>0</v>
      </c>
      <c r="F107" s="387">
        <f>IF(AND(Wärmeerzeugerleistung&gt;$A106,Wärmeerzeugerleistung&lt;=$A107),F78*NEB/100,0)</f>
        <v>0</v>
      </c>
      <c r="G107" s="387">
        <f>IF(AND(Wärmeerzeugerleistung&gt;$A106,Wärmeerzeugerleistung&lt;=$A107),G78*NEB/100,0)</f>
        <v>0</v>
      </c>
      <c r="H107" s="387">
        <f>IF(AND(Wärmeerzeugerleistung&gt;$A106,Wärmeerzeugerleistung&lt;=$A107),H78*NEB/100,0)</f>
        <v>0</v>
      </c>
      <c r="I107" s="387">
        <f>IF(AND(Wärmeerzeugerleistung&gt;$A106,Wärmeerzeugerleistung&lt;=$A107),I78*NEB/100,0)</f>
        <v>0</v>
      </c>
      <c r="J107" s="387">
        <f>IF(AND(Wärmeerzeugerleistung&gt;$A106,Wärmeerzeugerleistung&lt;=$A107),J78*NEB/100,0)</f>
        <v>0</v>
      </c>
      <c r="K107" s="387">
        <f>IF(AND(Wärmeerzeugerleistung&gt;$A106,Wärmeerzeugerleistung&lt;=$A107),K78*NEB/100,0)</f>
        <v>0</v>
      </c>
      <c r="L107" s="388">
        <f>IF(AND(Wärmeerzeugerleistung&gt;$A106,Wärmeerzeugerleistung&lt;=$A107),L78*NEB/100,0)</f>
        <v>0</v>
      </c>
    </row>
    <row r="108" spans="1:12">
      <c r="A108" s="270">
        <v>500</v>
      </c>
      <c r="B108" s="271"/>
      <c r="C108" s="271"/>
      <c r="D108" s="271"/>
      <c r="E108" s="391">
        <f>IF(AND(Wärmeerzeugerleistung&gt;$A107,Wärmeerzeugerleistung&lt;=$A108),E79*NEB/100,0)</f>
        <v>0</v>
      </c>
      <c r="F108" s="391">
        <f>IF(AND(Wärmeerzeugerleistung&gt;$A107,Wärmeerzeugerleistung&lt;=$A108),F79*NEB/100,0)</f>
        <v>0</v>
      </c>
      <c r="G108" s="391">
        <f>IF(AND(Wärmeerzeugerleistung&gt;$A107,Wärmeerzeugerleistung&lt;=$A108),G79*NEB/100,0)</f>
        <v>0</v>
      </c>
      <c r="H108" s="391">
        <f>IF(AND(Wärmeerzeugerleistung&gt;$A107,Wärmeerzeugerleistung&lt;=$A108),H79*NEB/100,0)</f>
        <v>0</v>
      </c>
      <c r="I108" s="391">
        <f>IF(AND(Wärmeerzeugerleistung&gt;$A107,Wärmeerzeugerleistung&lt;=$A108),I79*NEB/100,0)</f>
        <v>0</v>
      </c>
      <c r="J108" s="391">
        <f>IF(AND(Wärmeerzeugerleistung&gt;$A107,Wärmeerzeugerleistung&lt;=$A108),J79*NEB/100,0)</f>
        <v>0</v>
      </c>
      <c r="K108" s="391">
        <f>IF(AND(Wärmeerzeugerleistung&gt;$A107,Wärmeerzeugerleistung&lt;=$A108),K79*NEB/100,0)</f>
        <v>0</v>
      </c>
      <c r="L108" s="392">
        <f>IF(AND(Wärmeerzeugerleistung&gt;$A107,Wärmeerzeugerleistung&lt;=$A108),L79*NEB/100,0)</f>
        <v>0</v>
      </c>
    </row>
    <row r="109" spans="1:12">
      <c r="A109" s="266" t="s">
        <v>405</v>
      </c>
      <c r="B109" s="267"/>
      <c r="C109" s="267"/>
      <c r="D109" s="267"/>
      <c r="E109" s="389">
        <f>IF(AND(Wärmeerzeugerleistung&gt;$A108,Wärmeerzeugerleistung&lt;=$A109),E80*NEB/100,0)</f>
        <v>0</v>
      </c>
      <c r="F109" s="389">
        <f>IF(AND(Wärmeerzeugerleistung&gt;$A108,Wärmeerzeugerleistung&lt;=$A109),F80*NEB/100,0)</f>
        <v>0</v>
      </c>
      <c r="G109" s="389">
        <f>IF(AND(Wärmeerzeugerleistung&gt;$A108,Wärmeerzeugerleistung&lt;=$A109),G80*NEB/100,0)</f>
        <v>0</v>
      </c>
      <c r="H109" s="389">
        <f>IF(AND(Wärmeerzeugerleistung&gt;$A108,Wärmeerzeugerleistung&lt;=$A109),H80*NEB/100,0)</f>
        <v>0</v>
      </c>
      <c r="I109" s="389">
        <f>IF(AND(Wärmeerzeugerleistung&gt;$A108,Wärmeerzeugerleistung&lt;=$A109),I80*NEB/100,0)</f>
        <v>0</v>
      </c>
      <c r="J109" s="389">
        <f>IF(AND(Wärmeerzeugerleistung&gt;$A108,Wärmeerzeugerleistung&lt;=$A109),J80*NEB/100,0)</f>
        <v>0</v>
      </c>
      <c r="K109" s="389">
        <f>IF(AND(Wärmeerzeugerleistung&gt;$A108,Wärmeerzeugerleistung&lt;=$A109),K80*NEB/100,0)</f>
        <v>0</v>
      </c>
      <c r="L109" s="390">
        <f>IF(AND(Wärmeerzeugerleistung&gt;$A108,Wärmeerzeugerleistung&lt;=$A109),L80*NEB/100,0)</f>
        <v>0</v>
      </c>
    </row>
    <row r="110" spans="1:12">
      <c r="A110" s="252" t="s">
        <v>393</v>
      </c>
      <c r="B110" s="253"/>
      <c r="C110" s="253"/>
      <c r="D110" s="253"/>
      <c r="E110" s="393" t="e">
        <f>SUM(E87:E96,E100:E109)</f>
        <v>#VALUE!</v>
      </c>
      <c r="F110" s="393" t="e">
        <f>SUM(F87:F96,F100:F109)</f>
        <v>#VALUE!</v>
      </c>
      <c r="G110" s="393" t="e">
        <f>SUM(G87:G96,G100:G109)</f>
        <v>#VALUE!</v>
      </c>
      <c r="H110" s="393" t="e">
        <f>SUM(H87:H96,H100:H109)</f>
        <v>#VALUE!</v>
      </c>
      <c r="I110" s="393" t="e">
        <f>SUM(I87:I96,I100:I109)</f>
        <v>#VALUE!</v>
      </c>
      <c r="J110" s="393" t="e">
        <f t="shared" ref="J110" si="35">SUM(J87:J96,J100:J109)</f>
        <v>#VALUE!</v>
      </c>
      <c r="K110" s="393" t="e">
        <f t="shared" ref="K110" si="36">SUM(K87:K96,K100:K109)</f>
        <v>#VALUE!</v>
      </c>
      <c r="L110" s="394" t="e">
        <f>SUM(L87:L96,L100:L109)</f>
        <v>#VALUE!</v>
      </c>
    </row>
    <row r="111" spans="1:12" ht="15.75" thickBot="1"/>
    <row r="112" spans="1:12" ht="15.75" thickBot="1">
      <c r="A112" s="254" t="s">
        <v>394</v>
      </c>
      <c r="B112" s="255"/>
      <c r="C112" s="395" t="e">
        <f>C110/NEB*100</f>
        <v>#VALUE!</v>
      </c>
      <c r="D112" s="395" t="e">
        <f>D110/NEB*100</f>
        <v>#VALUE!</v>
      </c>
      <c r="E112" s="395" t="e">
        <f>E110/NEB*100</f>
        <v>#VALUE!</v>
      </c>
      <c r="F112" s="395" t="e">
        <f>F110/NEB*100</f>
        <v>#VALUE!</v>
      </c>
      <c r="G112" s="395" t="e">
        <f>G110/NEB*100</f>
        <v>#VALUE!</v>
      </c>
      <c r="H112" s="395" t="e">
        <f>H110/NEB*100</f>
        <v>#VALUE!</v>
      </c>
      <c r="I112" s="395" t="e">
        <f>I110/NEB*100</f>
        <v>#VALUE!</v>
      </c>
      <c r="J112" s="395" t="e">
        <f>J110/NEB*100</f>
        <v>#VALUE!</v>
      </c>
      <c r="K112" s="395" t="e">
        <f>K110/NEB*100</f>
        <v>#VALUE!</v>
      </c>
      <c r="L112" s="396" t="e">
        <f>L110/NEB*100</f>
        <v>#VALUE!</v>
      </c>
    </row>
  </sheetData>
  <mergeCells count="2">
    <mergeCell ref="A54:C55"/>
    <mergeCell ref="A1:D2"/>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
    <pageSetUpPr fitToPage="1"/>
  </sheetPr>
  <dimension ref="A1:V82"/>
  <sheetViews>
    <sheetView zoomScaleNormal="100" workbookViewId="0">
      <pane xSplit="2" ySplit="3" topLeftCell="C4" activePane="bottomRight" state="frozen"/>
      <selection activeCell="B2" sqref="B2"/>
      <selection pane="topRight" activeCell="B2" sqref="B2"/>
      <selection pane="bottomLeft" activeCell="B2" sqref="B2"/>
      <selection pane="bottomRight" activeCell="G4" sqref="G4"/>
    </sheetView>
  </sheetViews>
  <sheetFormatPr baseColWidth="10" defaultColWidth="11.42578125" defaultRowHeight="15"/>
  <cols>
    <col min="1" max="1" width="2" bestFit="1" customWidth="1"/>
    <col min="2" max="2" width="17.5703125" bestFit="1" customWidth="1"/>
    <col min="3" max="3" width="18.7109375" style="134" bestFit="1" customWidth="1"/>
    <col min="4" max="6" width="12.7109375" customWidth="1"/>
    <col min="7" max="7" width="18.7109375" customWidth="1"/>
    <col min="8" max="8" width="2.7109375" customWidth="1"/>
    <col min="9" max="12" width="12.7109375" customWidth="1"/>
    <col min="13" max="13" width="18.5703125" customWidth="1"/>
    <col min="14" max="14" width="2.7109375" customWidth="1"/>
    <col min="15" max="22" width="10.7109375" customWidth="1"/>
    <col min="23" max="23" width="11.42578125" customWidth="1"/>
  </cols>
  <sheetData>
    <row r="1" spans="1:22" s="37" customFormat="1">
      <c r="C1" s="184" t="s">
        <v>297</v>
      </c>
      <c r="D1" s="185">
        <f>Wärmeerzeugerleistung</f>
        <v>0</v>
      </c>
      <c r="E1" s="186" t="s">
        <v>313</v>
      </c>
      <c r="F1" s="186"/>
      <c r="G1" s="187"/>
      <c r="I1" s="541" t="s">
        <v>309</v>
      </c>
      <c r="J1" s="542"/>
      <c r="K1" s="542"/>
      <c r="L1" s="542"/>
      <c r="M1" s="543"/>
      <c r="O1" s="541" t="s">
        <v>310</v>
      </c>
      <c r="P1" s="542"/>
      <c r="Q1" s="542"/>
      <c r="R1" s="542"/>
      <c r="S1" s="542"/>
      <c r="T1" s="542"/>
      <c r="U1" s="542"/>
      <c r="V1" s="543"/>
    </row>
    <row r="2" spans="1:22">
      <c r="C2" s="544" t="s">
        <v>314</v>
      </c>
      <c r="D2" s="545"/>
      <c r="E2" s="545"/>
      <c r="F2" s="545"/>
      <c r="G2" s="546"/>
      <c r="I2" s="133"/>
      <c r="J2" s="133"/>
      <c r="K2" s="133"/>
      <c r="L2" s="133"/>
      <c r="M2" s="133"/>
      <c r="O2" s="540" t="s">
        <v>306</v>
      </c>
      <c r="P2" s="540"/>
      <c r="Q2" s="540" t="s">
        <v>307</v>
      </c>
      <c r="R2" s="540"/>
      <c r="S2" s="540" t="s">
        <v>190</v>
      </c>
      <c r="T2" s="540"/>
      <c r="U2" s="540" t="s">
        <v>308</v>
      </c>
      <c r="V2" s="540"/>
    </row>
    <row r="3" spans="1:22" s="16" customFormat="1" ht="60">
      <c r="A3" s="15">
        <v>3</v>
      </c>
      <c r="B3" s="15" t="s">
        <v>189</v>
      </c>
      <c r="C3" s="139" t="s">
        <v>195</v>
      </c>
      <c r="D3" s="140" t="s">
        <v>196</v>
      </c>
      <c r="E3" s="140" t="s">
        <v>197</v>
      </c>
      <c r="F3" s="140" t="s">
        <v>198</v>
      </c>
      <c r="G3" s="140" t="s">
        <v>302</v>
      </c>
      <c r="I3" s="140" t="s">
        <v>191</v>
      </c>
      <c r="J3" s="140" t="s">
        <v>192</v>
      </c>
      <c r="K3" s="140" t="s">
        <v>193</v>
      </c>
      <c r="L3" s="140" t="s">
        <v>194</v>
      </c>
      <c r="M3" s="140" t="s">
        <v>304</v>
      </c>
      <c r="O3" s="16" t="s">
        <v>312</v>
      </c>
      <c r="P3" s="16" t="s">
        <v>311</v>
      </c>
      <c r="Q3" s="16" t="s">
        <v>312</v>
      </c>
      <c r="R3" s="16" t="s">
        <v>311</v>
      </c>
      <c r="S3" s="16" t="s">
        <v>312</v>
      </c>
      <c r="T3" s="16" t="s">
        <v>311</v>
      </c>
      <c r="U3" s="16" t="s">
        <v>312</v>
      </c>
      <c r="V3" s="16" t="s">
        <v>311</v>
      </c>
    </row>
    <row r="4" spans="1:22" s="16" customFormat="1">
      <c r="A4" s="15"/>
      <c r="B4" s="141" t="s">
        <v>47</v>
      </c>
      <c r="C4" s="134" t="s">
        <v>226</v>
      </c>
      <c r="D4" s="67">
        <v>29400</v>
      </c>
      <c r="E4" s="67">
        <v>0</v>
      </c>
      <c r="F4" s="67">
        <v>18100</v>
      </c>
      <c r="G4" s="67">
        <f>IF(Wärmenetz="Fernwärme Luzern AG",'3-4 Investitionskosten'!F70,'3-4 Investitionskosten'!F81)</f>
        <v>0</v>
      </c>
      <c r="I4" s="136">
        <v>7</v>
      </c>
      <c r="J4" s="67">
        <v>21780</v>
      </c>
      <c r="K4" s="67">
        <v>0</v>
      </c>
      <c r="L4" s="67">
        <v>7676</v>
      </c>
      <c r="M4" s="67"/>
    </row>
    <row r="5" spans="1:22" s="16" customFormat="1">
      <c r="A5" s="15"/>
      <c r="B5"/>
      <c r="C5" s="134" t="s">
        <v>227</v>
      </c>
      <c r="D5" s="136">
        <f>O5*Wärmeerzeugerleistung+P5</f>
        <v>18663.333333333332</v>
      </c>
      <c r="E5" s="136">
        <f>Q5*Wärmeerzeugerleistung+R5</f>
        <v>0</v>
      </c>
      <c r="F5" s="136">
        <f>S5*Wärmeerzeugerleistung+T5</f>
        <v>6930.3333333333339</v>
      </c>
      <c r="G5" s="136">
        <f>IF(Wärmenetz="Fernwärme Luzern AG",'3-4 Investitionskosten'!F70,'3-4 Investitionskosten'!F81)</f>
        <v>0</v>
      </c>
      <c r="I5" s="136">
        <v>28</v>
      </c>
      <c r="J5" s="67">
        <v>31130</v>
      </c>
      <c r="K5" s="67">
        <v>0</v>
      </c>
      <c r="L5" s="67">
        <v>9913</v>
      </c>
      <c r="M5" s="67"/>
      <c r="O5" s="183">
        <f>SLOPE(J4:J5,I4:I5)</f>
        <v>445.23809523809524</v>
      </c>
      <c r="P5" s="183">
        <f>INTERCEPT(J4:J5,I4:I5)</f>
        <v>18663.333333333332</v>
      </c>
      <c r="Q5" s="183">
        <f>SLOPE(K4:K5,I4:I5)</f>
        <v>0</v>
      </c>
      <c r="R5" s="183">
        <f>INTERCEPT(K4:K5,I4:I5)</f>
        <v>0</v>
      </c>
      <c r="S5" s="183">
        <f>SLOPE(L4:L5,I4:I5)</f>
        <v>106.52380952380952</v>
      </c>
      <c r="T5" s="183">
        <f>INTERCEPT(L4:L5,I4:I5)</f>
        <v>6930.3333333333339</v>
      </c>
      <c r="U5" s="183"/>
      <c r="V5" s="183"/>
    </row>
    <row r="6" spans="1:22" s="16" customFormat="1">
      <c r="A6" s="15"/>
      <c r="B6"/>
      <c r="C6" s="134" t="s">
        <v>228</v>
      </c>
      <c r="D6" s="136">
        <f>O6*Wärmeerzeugerleistung+P6</f>
        <v>22814</v>
      </c>
      <c r="E6" s="136">
        <f>Q6*Wärmeerzeugerleistung+R6</f>
        <v>0</v>
      </c>
      <c r="F6" s="136">
        <f>S6*Wärmeerzeugerleistung+T6</f>
        <v>8092.2999999999993</v>
      </c>
      <c r="G6" s="136">
        <f>IF(Wärmenetz="Fernwärme Luzern AG",'3-4 Investitionskosten'!F70,'3-4 Investitionskosten'!F81)</f>
        <v>0</v>
      </c>
      <c r="I6" s="136">
        <v>68</v>
      </c>
      <c r="J6" s="67">
        <v>43010</v>
      </c>
      <c r="K6" s="67">
        <v>0</v>
      </c>
      <c r="L6" s="67">
        <v>12514</v>
      </c>
      <c r="M6" s="67"/>
      <c r="O6" s="183">
        <f>SLOPE(J5:J6,I5:I6)</f>
        <v>297</v>
      </c>
      <c r="P6" s="183">
        <f>INTERCEPT(J5:J6,I5:I6)</f>
        <v>22814</v>
      </c>
      <c r="Q6" s="183">
        <f>SLOPE(K5:K6,I5:I6)</f>
        <v>0</v>
      </c>
      <c r="R6" s="183">
        <f t="shared" ref="R6:R8" si="0">INTERCEPT(K5:K6,I5:I6)</f>
        <v>0</v>
      </c>
      <c r="S6" s="183">
        <f>SLOPE(L5:L6,I5:I6)</f>
        <v>65.025000000000006</v>
      </c>
      <c r="T6" s="183">
        <f t="shared" ref="T6:T8" si="1">INTERCEPT(L5:L6,I5:I6)</f>
        <v>8092.2999999999993</v>
      </c>
      <c r="U6" s="183"/>
      <c r="V6" s="183"/>
    </row>
    <row r="7" spans="1:22" s="16" customFormat="1">
      <c r="A7" s="15"/>
      <c r="B7"/>
      <c r="C7" s="134" t="s">
        <v>229</v>
      </c>
      <c r="D7" s="136">
        <f>O7*Wärmeerzeugerleistung+P7</f>
        <v>24371.311475409842</v>
      </c>
      <c r="E7" s="136">
        <f>Q7*Wärmeerzeugerleistung+R7</f>
        <v>0</v>
      </c>
      <c r="F7" s="136">
        <f>S7*Wärmeerzeugerleistung+T7</f>
        <v>8886.0327868852473</v>
      </c>
      <c r="G7" s="136">
        <f>IF(Wärmenetz="Fernwärme Luzern AG",'3-4 Investitionskosten'!F70,'3-4 Investitionskosten'!F81)</f>
        <v>0</v>
      </c>
      <c r="I7" s="136">
        <v>190</v>
      </c>
      <c r="J7" s="67">
        <v>76450</v>
      </c>
      <c r="K7" s="67">
        <v>0</v>
      </c>
      <c r="L7" s="67">
        <v>19023</v>
      </c>
      <c r="M7" s="68"/>
      <c r="O7" s="183">
        <f>SLOPE(J6:J7,I6:I7)</f>
        <v>274.09836065573768</v>
      </c>
      <c r="P7" s="183">
        <f>INTERCEPT(J6:J7,I6:I7)</f>
        <v>24371.311475409842</v>
      </c>
      <c r="Q7" s="183">
        <f>SLOPE(K6:K7,I6:I7)</f>
        <v>0</v>
      </c>
      <c r="R7" s="183">
        <f t="shared" si="0"/>
        <v>0</v>
      </c>
      <c r="S7" s="183">
        <f>SLOPE(L6:L7,I6:I7)</f>
        <v>53.352459016393439</v>
      </c>
      <c r="T7" s="183">
        <f t="shared" si="1"/>
        <v>8886.0327868852473</v>
      </c>
      <c r="U7" s="183"/>
      <c r="V7" s="183"/>
    </row>
    <row r="8" spans="1:22" s="16" customFormat="1">
      <c r="A8" s="15"/>
      <c r="B8" s="138"/>
      <c r="C8" s="135" t="s">
        <v>230</v>
      </c>
      <c r="D8" s="137">
        <f>O8*Wärmeerzeugerleistung+P8</f>
        <v>32492.580645161288</v>
      </c>
      <c r="E8" s="137">
        <f>Q8*Wärmeerzeugerleistung+R8</f>
        <v>0</v>
      </c>
      <c r="F8" s="137">
        <f>S8*Wärmeerzeugerleistung+T8</f>
        <v>11668.16129032258</v>
      </c>
      <c r="G8" s="137">
        <f>IF(Wärmenetz="Fernwärme Luzern AG",'3-4 Investitionskosten'!F70,'3-4 Investitionskosten'!F81)</f>
        <v>0</v>
      </c>
      <c r="I8" s="137">
        <v>500</v>
      </c>
      <c r="J8" s="69">
        <v>148170</v>
      </c>
      <c r="K8" s="69">
        <v>0</v>
      </c>
      <c r="L8" s="69">
        <v>31023</v>
      </c>
      <c r="M8" s="69"/>
      <c r="O8" s="183">
        <f>SLOPE(J7:J8,I7:I8)</f>
        <v>231.35483870967741</v>
      </c>
      <c r="P8" s="183">
        <f>INTERCEPT(J7:J8,I7:I8)</f>
        <v>32492.580645161288</v>
      </c>
      <c r="Q8" s="183">
        <f>SLOPE(K7:K8,I7:I8)</f>
        <v>0</v>
      </c>
      <c r="R8" s="183">
        <f t="shared" si="0"/>
        <v>0</v>
      </c>
      <c r="S8" s="183">
        <f>SLOPE(L7:L8,I7:I8)</f>
        <v>38.70967741935484</v>
      </c>
      <c r="T8" s="183">
        <f t="shared" si="1"/>
        <v>11668.16129032258</v>
      </c>
      <c r="U8" s="183"/>
      <c r="V8" s="183"/>
    </row>
    <row r="9" spans="1:22">
      <c r="B9" t="s">
        <v>209</v>
      </c>
      <c r="C9" s="134" t="s">
        <v>226</v>
      </c>
      <c r="D9" s="67">
        <v>28600</v>
      </c>
      <c r="E9" s="67">
        <v>2800</v>
      </c>
      <c r="F9" s="67">
        <v>14900</v>
      </c>
      <c r="G9" s="67">
        <v>0</v>
      </c>
      <c r="I9" s="136">
        <v>7</v>
      </c>
      <c r="J9" s="67">
        <v>28600</v>
      </c>
      <c r="K9" s="67">
        <v>2750</v>
      </c>
      <c r="L9" s="67">
        <v>14924</v>
      </c>
      <c r="M9" s="67">
        <v>0</v>
      </c>
      <c r="O9" s="183"/>
      <c r="P9" s="183"/>
      <c r="Q9" s="183"/>
      <c r="R9" s="183"/>
      <c r="S9" s="183"/>
      <c r="T9" s="183"/>
      <c r="U9" s="183"/>
      <c r="V9" s="183"/>
    </row>
    <row r="10" spans="1:22">
      <c r="C10" s="134" t="s">
        <v>227</v>
      </c>
      <c r="D10" s="136">
        <f>O10*Wärmeerzeugerleistung+P10</f>
        <v>21560</v>
      </c>
      <c r="E10" s="136">
        <f>Q10*Wärmeerzeugerleistung+R10</f>
        <v>2603.3333333333335</v>
      </c>
      <c r="F10" s="136">
        <f>S10*Wärmeerzeugerleistung+T10</f>
        <v>12485.333333333332</v>
      </c>
      <c r="G10" s="136">
        <f>U10*Wärmeerzeugerleistung+V10</f>
        <v>0</v>
      </c>
      <c r="I10" s="136">
        <v>28</v>
      </c>
      <c r="J10" s="67">
        <v>49720</v>
      </c>
      <c r="K10" s="67">
        <v>3190</v>
      </c>
      <c r="L10" s="67">
        <v>22240</v>
      </c>
      <c r="M10" s="67">
        <v>0</v>
      </c>
      <c r="O10" s="183">
        <f>SLOPE(J9:J10,I9:I10)</f>
        <v>1005.7142857142857</v>
      </c>
      <c r="P10" s="183">
        <f>INTERCEPT(J9:J10,I9:I10)</f>
        <v>21560</v>
      </c>
      <c r="Q10" s="183">
        <f>SLOPE(K9:K10,I9:I10)</f>
        <v>20.952380952380953</v>
      </c>
      <c r="R10" s="183">
        <f>INTERCEPT(K9:K10,I9:I10)</f>
        <v>2603.3333333333335</v>
      </c>
      <c r="S10" s="183">
        <f>SLOPE(L9:L10,I9:I10)</f>
        <v>348.38095238095241</v>
      </c>
      <c r="T10" s="183">
        <f>INTERCEPT(L9:L10,I9:I10)</f>
        <v>12485.333333333332</v>
      </c>
      <c r="U10" s="183">
        <f>SLOPE(M9:M10,I9:I10)</f>
        <v>0</v>
      </c>
      <c r="V10" s="183">
        <f>INTERCEPT(M9:M10,I9:I10)</f>
        <v>0</v>
      </c>
    </row>
    <row r="11" spans="1:22">
      <c r="C11" s="134" t="s">
        <v>228</v>
      </c>
      <c r="D11" s="136">
        <f>O11*Wärmeerzeugerleistung+P11</f>
        <v>5060</v>
      </c>
      <c r="E11" s="136">
        <f>Q11*Wärmeerzeugerleistung+R11</f>
        <v>1573</v>
      </c>
      <c r="F11" s="136">
        <f>S11*Wärmeerzeugerleistung+T11</f>
        <v>9299.8000000000029</v>
      </c>
      <c r="G11" s="136">
        <f>U11*Wärmeerzeugerleistung+V11</f>
        <v>0</v>
      </c>
      <c r="I11" s="136">
        <v>68</v>
      </c>
      <c r="J11" s="67">
        <v>113520</v>
      </c>
      <c r="K11" s="67">
        <v>5500</v>
      </c>
      <c r="L11" s="67">
        <v>40726</v>
      </c>
      <c r="M11" s="67">
        <v>0</v>
      </c>
      <c r="O11" s="183">
        <f>SLOPE(J10:J11,I10:I11)</f>
        <v>1595</v>
      </c>
      <c r="P11" s="183">
        <f>INTERCEPT(J10:J11,I10:I11)</f>
        <v>5060</v>
      </c>
      <c r="Q11" s="183">
        <f>SLOPE(K10:K11,I10:I11)</f>
        <v>57.75</v>
      </c>
      <c r="R11" s="183">
        <f t="shared" ref="R11:R12" si="2">INTERCEPT(K10:K11,I10:I11)</f>
        <v>1573</v>
      </c>
      <c r="S11" s="183">
        <f>SLOPE(L10:L11,I10:I11)</f>
        <v>462.15</v>
      </c>
      <c r="T11" s="183">
        <f t="shared" ref="T11:T12" si="3">INTERCEPT(L10:L11,I10:I11)</f>
        <v>9299.8000000000029</v>
      </c>
      <c r="U11" s="183">
        <f>SLOPE(M10:M11,I10:I11)</f>
        <v>0</v>
      </c>
      <c r="V11" s="183">
        <f t="shared" ref="V11:V12" si="4">INTERCEPT(M10:M11,I10:I11)</f>
        <v>0</v>
      </c>
    </row>
    <row r="12" spans="1:22">
      <c r="C12" s="134" t="s">
        <v>229</v>
      </c>
      <c r="D12" s="136">
        <f>O12*Wärmeerzeugerleistung+P12</f>
        <v>10884.590163934423</v>
      </c>
      <c r="E12" s="136">
        <f>Q12*Wärmeerzeugerleistung+R12</f>
        <v>5500</v>
      </c>
      <c r="F12" s="136">
        <f>S12*Wärmeerzeugerleistung+T12</f>
        <v>16651.213114754093</v>
      </c>
      <c r="G12" s="136">
        <f>U12*Wärmeerzeugerleistung+V12</f>
        <v>0</v>
      </c>
      <c r="I12" s="136">
        <v>190</v>
      </c>
      <c r="J12" s="67">
        <v>297660</v>
      </c>
      <c r="K12" s="67">
        <v>5500</v>
      </c>
      <c r="L12" s="67">
        <v>83919</v>
      </c>
      <c r="M12" s="68">
        <v>0</v>
      </c>
      <c r="O12" s="183">
        <f>SLOPE(J11:J12,I11:I12)</f>
        <v>1509.344262295082</v>
      </c>
      <c r="P12" s="183">
        <f>INTERCEPT(J11:J12,I11:I12)</f>
        <v>10884.590163934423</v>
      </c>
      <c r="Q12" s="183">
        <f>SLOPE(K11:K12,I11:I12)</f>
        <v>0</v>
      </c>
      <c r="R12" s="183">
        <f t="shared" si="2"/>
        <v>5500</v>
      </c>
      <c r="S12" s="183">
        <f>SLOPE(L11:L12,I11:I12)</f>
        <v>354.0409836065574</v>
      </c>
      <c r="T12" s="183">
        <f t="shared" si="3"/>
        <v>16651.213114754093</v>
      </c>
      <c r="U12" s="183">
        <f>SLOPE(M11:M12,I11:I12)</f>
        <v>0</v>
      </c>
      <c r="V12" s="183">
        <f t="shared" si="4"/>
        <v>0</v>
      </c>
    </row>
    <row r="13" spans="1:22">
      <c r="B13" s="138"/>
      <c r="C13" s="135" t="s">
        <v>230</v>
      </c>
      <c r="D13" s="137">
        <f>D12</f>
        <v>10884.590163934423</v>
      </c>
      <c r="E13" s="137">
        <f>E12</f>
        <v>5500</v>
      </c>
      <c r="F13" s="137">
        <f>F12</f>
        <v>16651.213114754093</v>
      </c>
      <c r="G13" s="137">
        <f>G12</f>
        <v>0</v>
      </c>
      <c r="I13" s="137"/>
      <c r="J13" s="69"/>
      <c r="K13" s="69"/>
      <c r="L13" s="69"/>
      <c r="M13" s="69"/>
      <c r="O13" s="183"/>
      <c r="P13" s="183"/>
      <c r="Q13" s="183"/>
      <c r="R13" s="183"/>
      <c r="S13" s="183"/>
      <c r="T13" s="183"/>
      <c r="U13" s="183"/>
      <c r="V13" s="183"/>
    </row>
    <row r="14" spans="1:22">
      <c r="B14" t="s">
        <v>208</v>
      </c>
      <c r="C14" s="134" t="s">
        <v>226</v>
      </c>
      <c r="D14" s="67">
        <v>35600</v>
      </c>
      <c r="E14" s="67">
        <v>9900</v>
      </c>
      <c r="F14" s="67">
        <v>17500</v>
      </c>
      <c r="G14" s="68">
        <v>0</v>
      </c>
      <c r="I14" s="136">
        <v>7</v>
      </c>
      <c r="J14" s="67">
        <v>35530</v>
      </c>
      <c r="K14" s="67">
        <v>9900</v>
      </c>
      <c r="L14" s="67">
        <v>17443</v>
      </c>
      <c r="M14" s="68">
        <v>0</v>
      </c>
      <c r="O14" s="183"/>
      <c r="P14" s="183"/>
      <c r="Q14" s="183"/>
      <c r="R14" s="183"/>
      <c r="S14" s="183"/>
      <c r="T14" s="183"/>
      <c r="U14" s="183"/>
      <c r="V14" s="183"/>
    </row>
    <row r="15" spans="1:22">
      <c r="C15" s="134" t="s">
        <v>227</v>
      </c>
      <c r="D15" s="136">
        <f>O15*Wärmeerzeugerleistung+P15</f>
        <v>29920</v>
      </c>
      <c r="E15" s="136">
        <f>Q15*Wärmeerzeugerleistung+R15</f>
        <v>9643.3333333333339</v>
      </c>
      <c r="F15" s="136">
        <f>S15*Wärmeerzeugerleistung+T15</f>
        <v>15560</v>
      </c>
      <c r="G15" s="136">
        <f>U15*Wärmeerzeugerleistung+V15</f>
        <v>0</v>
      </c>
      <c r="I15" s="136">
        <v>28</v>
      </c>
      <c r="J15" s="67">
        <v>52360</v>
      </c>
      <c r="K15" s="67">
        <v>10670</v>
      </c>
      <c r="L15" s="67">
        <v>23092</v>
      </c>
      <c r="M15" s="68">
        <v>0</v>
      </c>
      <c r="O15" s="183">
        <f>SLOPE(J14:J15,I14:I15)</f>
        <v>801.42857142857144</v>
      </c>
      <c r="P15" s="183">
        <f>INTERCEPT(J14:J15,I14:I15)</f>
        <v>29920</v>
      </c>
      <c r="Q15" s="183">
        <f>SLOPE(K14:K15,I14:I15)</f>
        <v>36.666666666666664</v>
      </c>
      <c r="R15" s="183">
        <f>INTERCEPT(K14:K15,I14:I15)</f>
        <v>9643.3333333333339</v>
      </c>
      <c r="S15" s="183">
        <f>SLOPE(L14:L15,I14:I15)</f>
        <v>269</v>
      </c>
      <c r="T15" s="183">
        <f>INTERCEPT(L14:L15,I14:I15)</f>
        <v>15560</v>
      </c>
      <c r="U15" s="183">
        <f>SLOPE(M14:M15,I14:I15)</f>
        <v>0</v>
      </c>
      <c r="V15" s="183">
        <f>INTERCEPT(M14:M15,I14:I15)</f>
        <v>0</v>
      </c>
    </row>
    <row r="16" spans="1:22">
      <c r="C16" s="134" t="s">
        <v>228</v>
      </c>
      <c r="D16" s="136">
        <f>O16*Wärmeerzeugerleistung+P16</f>
        <v>-1309</v>
      </c>
      <c r="E16" s="136">
        <f>Q16*Wärmeerzeugerleistung+R16</f>
        <v>6589</v>
      </c>
      <c r="F16" s="136">
        <f>S16*Wärmeerzeugerleistung+T16</f>
        <v>7908.3000000000029</v>
      </c>
      <c r="G16" s="136">
        <f>U16*Wärmeerzeugerleistung+V16</f>
        <v>0</v>
      </c>
      <c r="I16" s="136">
        <v>68</v>
      </c>
      <c r="J16" s="67">
        <v>129030</v>
      </c>
      <c r="K16" s="67">
        <v>16500</v>
      </c>
      <c r="L16" s="67">
        <v>44783</v>
      </c>
      <c r="M16" s="68">
        <v>0</v>
      </c>
      <c r="O16" s="183">
        <f>SLOPE(J15:J16,I15:I16)</f>
        <v>1916.75</v>
      </c>
      <c r="P16" s="183">
        <f>INTERCEPT(J15:J16,I15:I16)</f>
        <v>-1309</v>
      </c>
      <c r="Q16" s="183">
        <f>SLOPE(K15:K16,I15:I16)</f>
        <v>145.75</v>
      </c>
      <c r="R16" s="183">
        <f t="shared" ref="R16:R17" si="5">INTERCEPT(K15:K16,I15:I16)</f>
        <v>6589</v>
      </c>
      <c r="S16" s="183">
        <f>SLOPE(L15:L16,I15:I16)</f>
        <v>542.27499999999998</v>
      </c>
      <c r="T16" s="183">
        <f t="shared" ref="T16:T17" si="6">INTERCEPT(L15:L16,I15:I16)</f>
        <v>7908.3000000000029</v>
      </c>
      <c r="U16" s="183">
        <f>SLOPE(M15:M16,I15:I16)</f>
        <v>0</v>
      </c>
      <c r="V16" s="183">
        <f t="shared" ref="V16:V17" si="7">INTERCEPT(M15:M16,I15:I16)</f>
        <v>0</v>
      </c>
    </row>
    <row r="17" spans="2:22">
      <c r="C17" s="134" t="s">
        <v>229</v>
      </c>
      <c r="D17" s="136">
        <f>O17*Wärmeerzeugerleistung+P17</f>
        <v>20631.311475409835</v>
      </c>
      <c r="E17" s="136">
        <f>Q17*Wärmeerzeugerleistung+R17</f>
        <v>18339.344262295082</v>
      </c>
      <c r="F17" s="136">
        <f>S17*Wärmeerzeugerleistung+T17</f>
        <v>19908.37704918033</v>
      </c>
      <c r="G17" s="136">
        <f>U17*Wärmeerzeugerleistung+V17</f>
        <v>0</v>
      </c>
      <c r="I17" s="136">
        <v>190</v>
      </c>
      <c r="J17" s="67">
        <v>323510</v>
      </c>
      <c r="K17" s="67">
        <v>13200</v>
      </c>
      <c r="L17" s="67">
        <v>89411</v>
      </c>
      <c r="M17" s="68">
        <v>0</v>
      </c>
      <c r="O17" s="183">
        <f>SLOPE(J16:J17,I16:I17)</f>
        <v>1594.0983606557377</v>
      </c>
      <c r="P17" s="183">
        <f>INTERCEPT(J16:J17,I16:I17)</f>
        <v>20631.311475409835</v>
      </c>
      <c r="Q17" s="183">
        <f>SLOPE(K16:K17,I16:I17)</f>
        <v>-27.049180327868854</v>
      </c>
      <c r="R17" s="183">
        <f t="shared" si="5"/>
        <v>18339.344262295082</v>
      </c>
      <c r="S17" s="183">
        <f>SLOPE(L16:L17,I16:I17)</f>
        <v>365.80327868852459</v>
      </c>
      <c r="T17" s="183">
        <f t="shared" si="6"/>
        <v>19908.37704918033</v>
      </c>
      <c r="U17" s="183">
        <f>SLOPE(M16:M17,I16:I17)</f>
        <v>0</v>
      </c>
      <c r="V17" s="183">
        <f t="shared" si="7"/>
        <v>0</v>
      </c>
    </row>
    <row r="18" spans="2:22">
      <c r="B18" s="138"/>
      <c r="C18" s="135" t="s">
        <v>230</v>
      </c>
      <c r="D18" s="137">
        <f>D17</f>
        <v>20631.311475409835</v>
      </c>
      <c r="E18" s="137">
        <f>E17</f>
        <v>18339.344262295082</v>
      </c>
      <c r="F18" s="137">
        <f>F17</f>
        <v>19908.37704918033</v>
      </c>
      <c r="G18" s="137">
        <f>G17</f>
        <v>0</v>
      </c>
      <c r="I18" s="137">
        <v>500</v>
      </c>
      <c r="J18" s="69"/>
      <c r="K18" s="69"/>
      <c r="L18" s="69"/>
      <c r="M18" s="69"/>
      <c r="O18" s="183"/>
      <c r="P18" s="183"/>
      <c r="Q18" s="183"/>
      <c r="R18" s="183"/>
      <c r="S18" s="183"/>
      <c r="T18" s="183"/>
      <c r="U18" s="183"/>
      <c r="V18" s="183"/>
    </row>
    <row r="19" spans="2:22">
      <c r="B19" t="s">
        <v>42</v>
      </c>
      <c r="C19" s="134" t="s">
        <v>226</v>
      </c>
      <c r="D19" s="67">
        <v>29400</v>
      </c>
      <c r="E19" s="67">
        <v>1100</v>
      </c>
      <c r="F19" s="67">
        <v>18100</v>
      </c>
      <c r="G19" s="67">
        <v>14400</v>
      </c>
      <c r="I19" s="136">
        <v>7</v>
      </c>
      <c r="J19" s="67">
        <v>29400</v>
      </c>
      <c r="K19" s="67">
        <v>1100</v>
      </c>
      <c r="L19" s="67">
        <v>18100</v>
      </c>
      <c r="M19" s="67">
        <v>14400</v>
      </c>
      <c r="O19" s="183"/>
      <c r="P19" s="183"/>
      <c r="Q19" s="183"/>
      <c r="R19" s="183"/>
      <c r="S19" s="183"/>
      <c r="T19" s="183"/>
      <c r="U19" s="183"/>
      <c r="V19" s="183"/>
    </row>
    <row r="20" spans="2:22">
      <c r="C20" s="134" t="s">
        <v>227</v>
      </c>
      <c r="D20" s="136">
        <f>O20*Wärmeerzeugerleistung+P20</f>
        <v>16466.666666666664</v>
      </c>
      <c r="E20" s="136">
        <f>Q20*Wärmeerzeugerleistung+R20</f>
        <v>1100</v>
      </c>
      <c r="F20" s="136">
        <f>S20*Wärmeerzeugerleistung+T20</f>
        <v>11900</v>
      </c>
      <c r="G20" s="136">
        <f>U20*Wärmeerzeugerleistung+V20</f>
        <v>4433.3333333333321</v>
      </c>
      <c r="I20" s="136">
        <v>28</v>
      </c>
      <c r="J20" s="67">
        <v>68200</v>
      </c>
      <c r="K20" s="67">
        <v>1100</v>
      </c>
      <c r="L20" s="67">
        <v>36700</v>
      </c>
      <c r="M20" s="67">
        <v>44300</v>
      </c>
      <c r="O20" s="183">
        <f>SLOPE(J19:J20,I19:I20)</f>
        <v>1847.6190476190477</v>
      </c>
      <c r="P20" s="183">
        <f>INTERCEPT(J19:J20,I19:I20)</f>
        <v>16466.666666666664</v>
      </c>
      <c r="Q20" s="183">
        <f>SLOPE(K19:K20,I19:I20)</f>
        <v>0</v>
      </c>
      <c r="R20" s="183">
        <f>INTERCEPT(K19:K20,I19:I20)</f>
        <v>1100</v>
      </c>
      <c r="S20" s="183">
        <f>SLOPE(L19:L20,I19:I20)</f>
        <v>885.71428571428567</v>
      </c>
      <c r="T20" s="183">
        <f>INTERCEPT(L19:L20,I19:I20)</f>
        <v>11900</v>
      </c>
      <c r="U20" s="183">
        <f>SLOPE(M19:M20,I19:I20)</f>
        <v>1423.8095238095239</v>
      </c>
      <c r="V20" s="183">
        <f>INTERCEPT(M19:M20,I19:I20)</f>
        <v>4433.3333333333321</v>
      </c>
    </row>
    <row r="21" spans="2:22">
      <c r="C21" s="134" t="s">
        <v>228</v>
      </c>
      <c r="D21" s="136">
        <f>O21*Wärmeerzeugerleistung+P21</f>
        <v>37610</v>
      </c>
      <c r="E21" s="136">
        <f>Q21*Wärmeerzeugerleistung+R21</f>
        <v>680</v>
      </c>
      <c r="F21" s="136">
        <f>S21*Wärmeerzeugerleistung+T21</f>
        <v>22070</v>
      </c>
      <c r="G21" s="136">
        <f>U21*Wärmeerzeugerleistung+V21</f>
        <v>9580</v>
      </c>
      <c r="I21" s="136">
        <v>68</v>
      </c>
      <c r="J21" s="67">
        <v>111900</v>
      </c>
      <c r="K21" s="67">
        <v>1700</v>
      </c>
      <c r="L21" s="67">
        <v>57600</v>
      </c>
      <c r="M21" s="67">
        <v>93900</v>
      </c>
      <c r="O21" s="183">
        <f>SLOPE(J20:J21,I20:I21)</f>
        <v>1092.5</v>
      </c>
      <c r="P21" s="183">
        <f>INTERCEPT(J20:J21,I20:I21)</f>
        <v>37610</v>
      </c>
      <c r="Q21" s="183">
        <f>SLOPE(K20:K21,I20:I21)</f>
        <v>15</v>
      </c>
      <c r="R21" s="183">
        <f t="shared" ref="R21:R23" si="8">INTERCEPT(K20:K21,I20:I21)</f>
        <v>680</v>
      </c>
      <c r="S21" s="183">
        <f>SLOPE(L20:L21,I20:I21)</f>
        <v>522.5</v>
      </c>
      <c r="T21" s="183">
        <f t="shared" ref="T21:T23" si="9">INTERCEPT(L20:L21,I20:I21)</f>
        <v>22070</v>
      </c>
      <c r="U21" s="183">
        <f>SLOPE(M20:M21,I20:I21)</f>
        <v>1240</v>
      </c>
      <c r="V21" s="183">
        <f t="shared" ref="V21:V23" si="10">INTERCEPT(M20:M21,I20:I21)</f>
        <v>9580</v>
      </c>
    </row>
    <row r="22" spans="2:22">
      <c r="C22" s="134" t="s">
        <v>229</v>
      </c>
      <c r="D22" s="136">
        <f>O22*Wärmeerzeugerleistung+P22</f>
        <v>12240.983606557362</v>
      </c>
      <c r="E22" s="136">
        <f>Q22*Wärmeerzeugerleistung+R22</f>
        <v>1421.311475409836</v>
      </c>
      <c r="F22" s="136">
        <f>S22*Wärmeerzeugerleistung+T22</f>
        <v>21872.131147540975</v>
      </c>
      <c r="G22" s="136">
        <f>U22*Wärmeerzeugerleistung+V22</f>
        <v>4385.2459016393695</v>
      </c>
      <c r="I22" s="136">
        <v>190</v>
      </c>
      <c r="J22" s="68">
        <v>290700</v>
      </c>
      <c r="K22" s="68">
        <v>2200</v>
      </c>
      <c r="L22" s="68">
        <v>121700</v>
      </c>
      <c r="M22" s="68">
        <v>254500</v>
      </c>
      <c r="O22" s="183">
        <f>SLOPE(J21:J22,I21:I22)</f>
        <v>1465.5737704918033</v>
      </c>
      <c r="P22" s="183">
        <f>INTERCEPT(J21:J22,I21:I22)</f>
        <v>12240.983606557362</v>
      </c>
      <c r="Q22" s="183">
        <f>SLOPE(K21:K22,I21:I22)</f>
        <v>4.0983606557377046</v>
      </c>
      <c r="R22" s="183">
        <f t="shared" si="8"/>
        <v>1421.311475409836</v>
      </c>
      <c r="S22" s="183">
        <f>SLOPE(L21:L22,I21:I22)</f>
        <v>525.40983606557381</v>
      </c>
      <c r="T22" s="183">
        <f t="shared" si="9"/>
        <v>21872.131147540975</v>
      </c>
      <c r="U22" s="183">
        <f>SLOPE(M21:M22,I21:I22)</f>
        <v>1316.3934426229507</v>
      </c>
      <c r="V22" s="183">
        <f t="shared" si="10"/>
        <v>4385.2459016393695</v>
      </c>
    </row>
    <row r="23" spans="2:22">
      <c r="B23" s="138"/>
      <c r="C23" s="135" t="s">
        <v>230</v>
      </c>
      <c r="D23" s="137">
        <f>O23*Wärmeerzeugerleistung+P23</f>
        <v>181909.67741935482</v>
      </c>
      <c r="E23" s="137">
        <f>Q23*Wärmeerzeugerleistung+R23</f>
        <v>177.41935483870975</v>
      </c>
      <c r="F23" s="137">
        <f>S23*Wärmeerzeugerleistung+T23</f>
        <v>67274.193548387106</v>
      </c>
      <c r="G23" s="137">
        <f>U23*Wärmeerzeugerleistung+V23</f>
        <v>13629.032258064486</v>
      </c>
      <c r="I23" s="137">
        <v>500</v>
      </c>
      <c r="J23" s="69">
        <v>468200</v>
      </c>
      <c r="K23" s="69">
        <v>5500</v>
      </c>
      <c r="L23" s="69">
        <v>210500</v>
      </c>
      <c r="M23" s="69">
        <v>647500</v>
      </c>
      <c r="O23" s="183">
        <f>SLOPE(J22:J23,I22:I23)</f>
        <v>572.58064516129036</v>
      </c>
      <c r="P23" s="183">
        <f>INTERCEPT(J22:J23,I22:I23)</f>
        <v>181909.67741935482</v>
      </c>
      <c r="Q23" s="183">
        <f>SLOPE(K22:K23,I22:I23)</f>
        <v>10.64516129032258</v>
      </c>
      <c r="R23" s="183">
        <f t="shared" si="8"/>
        <v>177.41935483870975</v>
      </c>
      <c r="S23" s="183">
        <f>SLOPE(L22:L23,I22:I23)</f>
        <v>286.45161290322579</v>
      </c>
      <c r="T23" s="183">
        <f t="shared" si="9"/>
        <v>67274.193548387106</v>
      </c>
      <c r="U23" s="183">
        <f>SLOPE(M22:M23,I22:I23)</f>
        <v>1267.741935483871</v>
      </c>
      <c r="V23" s="183">
        <f t="shared" si="10"/>
        <v>13629.032258064486</v>
      </c>
    </row>
    <row r="24" spans="2:22">
      <c r="B24" t="s">
        <v>43</v>
      </c>
      <c r="C24" s="134" t="s">
        <v>226</v>
      </c>
      <c r="D24" s="70" t="s">
        <v>298</v>
      </c>
      <c r="E24" s="70" t="s">
        <v>298</v>
      </c>
      <c r="F24" s="70" t="s">
        <v>298</v>
      </c>
      <c r="G24" s="143">
        <v>0</v>
      </c>
      <c r="I24" s="136">
        <v>7</v>
      </c>
      <c r="J24" s="179"/>
      <c r="K24" s="179"/>
      <c r="L24" s="179"/>
      <c r="M24" s="68">
        <v>0</v>
      </c>
      <c r="O24" s="183"/>
      <c r="P24" s="183"/>
      <c r="Q24" s="183"/>
      <c r="R24" s="183"/>
      <c r="S24" s="183"/>
      <c r="T24" s="183"/>
      <c r="U24" s="183"/>
      <c r="V24" s="183"/>
    </row>
    <row r="25" spans="2:22">
      <c r="C25" s="134" t="s">
        <v>227</v>
      </c>
      <c r="D25" s="70" t="s">
        <v>298</v>
      </c>
      <c r="E25" s="70" t="s">
        <v>298</v>
      </c>
      <c r="F25" s="70" t="s">
        <v>298</v>
      </c>
      <c r="G25" s="143">
        <v>0</v>
      </c>
      <c r="I25" s="136">
        <v>28</v>
      </c>
      <c r="J25" s="179"/>
      <c r="K25" s="179"/>
      <c r="L25" s="179"/>
      <c r="M25" s="68">
        <v>0</v>
      </c>
      <c r="O25" s="183"/>
      <c r="P25" s="183"/>
      <c r="Q25" s="183"/>
      <c r="R25" s="183"/>
      <c r="S25" s="183"/>
      <c r="T25" s="183"/>
      <c r="U25" s="183"/>
      <c r="V25" s="183"/>
    </row>
    <row r="26" spans="2:22">
      <c r="C26" s="134" t="s">
        <v>228</v>
      </c>
      <c r="D26" s="70" t="s">
        <v>298</v>
      </c>
      <c r="E26" s="70" t="s">
        <v>298</v>
      </c>
      <c r="F26" s="70" t="s">
        <v>298</v>
      </c>
      <c r="G26" s="143">
        <v>0</v>
      </c>
      <c r="I26" s="136">
        <v>68</v>
      </c>
      <c r="J26" s="179"/>
      <c r="K26" s="179"/>
      <c r="L26" s="179"/>
      <c r="M26" s="68">
        <v>0</v>
      </c>
      <c r="O26" s="183"/>
      <c r="P26" s="183"/>
      <c r="Q26" s="183"/>
      <c r="R26" s="183"/>
      <c r="S26" s="183"/>
      <c r="T26" s="183"/>
      <c r="U26" s="183"/>
      <c r="V26" s="183"/>
    </row>
    <row r="27" spans="2:22">
      <c r="C27" s="134" t="s">
        <v>229</v>
      </c>
      <c r="D27" s="70" t="s">
        <v>298</v>
      </c>
      <c r="E27" s="70" t="s">
        <v>298</v>
      </c>
      <c r="F27" s="70" t="s">
        <v>298</v>
      </c>
      <c r="G27" s="143">
        <v>0</v>
      </c>
      <c r="I27" s="136">
        <v>190</v>
      </c>
      <c r="J27" s="180">
        <v>394570</v>
      </c>
      <c r="K27" s="180">
        <v>46200</v>
      </c>
      <c r="L27" s="180">
        <v>104068</v>
      </c>
      <c r="M27" s="68">
        <v>0</v>
      </c>
      <c r="O27" s="183"/>
      <c r="P27" s="183"/>
      <c r="Q27" s="183"/>
      <c r="R27" s="183"/>
      <c r="S27" s="183"/>
      <c r="T27" s="183"/>
      <c r="U27" s="183"/>
      <c r="V27" s="183"/>
    </row>
    <row r="28" spans="2:22">
      <c r="B28" s="138"/>
      <c r="C28" s="135" t="s">
        <v>230</v>
      </c>
      <c r="D28" s="144">
        <f>O28*Wärmeerzeugerleistung+P28</f>
        <v>271125.16129032255</v>
      </c>
      <c r="E28" s="144">
        <f>Q28*Wärmeerzeugerleistung+R28</f>
        <v>34064.516129032258</v>
      </c>
      <c r="F28" s="144">
        <f>S28*Wärmeerzeugerleistung+T28</f>
        <v>80167.838709677424</v>
      </c>
      <c r="G28" s="144">
        <f>U28*Wärmeerzeugerleistung+V28</f>
        <v>0</v>
      </c>
      <c r="I28" s="137">
        <v>500</v>
      </c>
      <c r="J28" s="181">
        <v>595980</v>
      </c>
      <c r="K28" s="181">
        <v>66000</v>
      </c>
      <c r="L28" s="181">
        <v>143063</v>
      </c>
      <c r="M28" s="69">
        <v>0</v>
      </c>
      <c r="O28" s="183">
        <f>SLOPE(J27:J28,I27:I28)</f>
        <v>649.70967741935488</v>
      </c>
      <c r="P28" s="183">
        <f>INTERCEPT(J27:J28,I27:I28)</f>
        <v>271125.16129032255</v>
      </c>
      <c r="Q28" s="183">
        <f>SLOPE(K27:K28,I27:I28)</f>
        <v>63.87096774193548</v>
      </c>
      <c r="R28" s="183">
        <f>INTERCEPT(K27:K28,I27:I28)</f>
        <v>34064.516129032258</v>
      </c>
      <c r="S28" s="183">
        <f>SLOPE(L27:L28,I27:I28)</f>
        <v>125.79032258064517</v>
      </c>
      <c r="T28" s="183">
        <f>INTERCEPT(L27:L28,I27:I28)</f>
        <v>80167.838709677424</v>
      </c>
      <c r="U28" s="183">
        <f>SLOPE(M27:M28,I27:I28)</f>
        <v>0</v>
      </c>
      <c r="V28" s="183">
        <f>INTERCEPT(M27:M28,I27:I28)</f>
        <v>0</v>
      </c>
    </row>
    <row r="29" spans="2:22">
      <c r="B29" t="s">
        <v>40</v>
      </c>
      <c r="C29" s="134" t="s">
        <v>226</v>
      </c>
      <c r="D29" s="143">
        <f t="shared" ref="D29:E29" si="11">ROUND(J29,-2)</f>
        <v>35200</v>
      </c>
      <c r="E29" s="143">
        <f t="shared" si="11"/>
        <v>2200</v>
      </c>
      <c r="F29" s="143">
        <f>ROUND(L29,-2)</f>
        <v>17300</v>
      </c>
      <c r="G29" s="143">
        <f>ROUND(M29,-2)</f>
        <v>0</v>
      </c>
      <c r="I29" s="136">
        <v>7</v>
      </c>
      <c r="J29" s="180">
        <v>35200</v>
      </c>
      <c r="K29" s="180">
        <v>2200</v>
      </c>
      <c r="L29" s="180">
        <v>17326.312791347809</v>
      </c>
      <c r="M29" s="68">
        <v>0</v>
      </c>
      <c r="O29" s="183"/>
      <c r="P29" s="183"/>
      <c r="Q29" s="183"/>
      <c r="R29" s="183"/>
      <c r="S29" s="183"/>
      <c r="T29" s="183"/>
      <c r="U29" s="183"/>
      <c r="V29" s="183"/>
    </row>
    <row r="30" spans="2:22">
      <c r="C30" s="134" t="s">
        <v>227</v>
      </c>
      <c r="D30" s="136">
        <f>O30*Wärmeerzeugerleistung+P30</f>
        <v>25776.666666666668</v>
      </c>
      <c r="E30" s="136">
        <f>Q30*Wärmeerzeugerleistung+R30</f>
        <v>2200</v>
      </c>
      <c r="F30" s="136">
        <f>S30*Wärmeerzeugerleistung+T30</f>
        <v>14246.750388463744</v>
      </c>
      <c r="G30" s="136">
        <f>U30*Wärmeerzeugerleistung+V30</f>
        <v>0</v>
      </c>
      <c r="I30" s="136">
        <v>28</v>
      </c>
      <c r="J30" s="180">
        <v>63470</v>
      </c>
      <c r="K30" s="180">
        <v>2200</v>
      </c>
      <c r="L30" s="180">
        <v>26565</v>
      </c>
      <c r="M30" s="68">
        <v>0</v>
      </c>
      <c r="O30" s="183">
        <f>SLOPE(J29:J30,I29:I30)</f>
        <v>1346.1904761904761</v>
      </c>
      <c r="P30" s="183">
        <f>INTERCEPT(J29:J30,I29:I30)</f>
        <v>25776.666666666668</v>
      </c>
      <c r="Q30" s="183">
        <f>SLOPE(K29:K30,I29:I30)</f>
        <v>0</v>
      </c>
      <c r="R30" s="183">
        <f>INTERCEPT(K29:K30,I29:I30)</f>
        <v>2200</v>
      </c>
      <c r="S30" s="183">
        <f>SLOPE(L29:L30,I29:I30)</f>
        <v>439.93748612629486</v>
      </c>
      <c r="T30" s="183">
        <f>INTERCEPT(L29:L30,I29:I30)</f>
        <v>14246.750388463744</v>
      </c>
      <c r="U30" s="183">
        <f>SLOPE(M29:M30,I29:I30)</f>
        <v>0</v>
      </c>
      <c r="V30" s="183">
        <f>INTERCEPT(M29:M30,I29:I30)</f>
        <v>0</v>
      </c>
    </row>
    <row r="31" spans="2:22">
      <c r="C31" s="134" t="s">
        <v>228</v>
      </c>
      <c r="D31" s="143">
        <f>O31*Wärmeerzeugerleistung+P31</f>
        <v>34364</v>
      </c>
      <c r="E31" s="143">
        <f>Q31*Wärmeerzeugerleistung+R31</f>
        <v>1815</v>
      </c>
      <c r="F31" s="143">
        <f>S31*Wärmeerzeugerleistung+T31</f>
        <v>18241.300000000003</v>
      </c>
      <c r="G31" s="143">
        <f>U31*Wärmeerzeugerleistung+V31</f>
        <v>0</v>
      </c>
      <c r="I31" s="136">
        <v>68</v>
      </c>
      <c r="J31" s="180">
        <v>105050</v>
      </c>
      <c r="K31" s="180">
        <v>2750</v>
      </c>
      <c r="L31" s="180">
        <v>38456</v>
      </c>
      <c r="M31" s="68">
        <v>0</v>
      </c>
      <c r="O31" s="183">
        <f>SLOPE(J30:J31,I30:I31)</f>
        <v>1039.5</v>
      </c>
      <c r="P31" s="183">
        <f>INTERCEPT(J30:J31,I30:I31)</f>
        <v>34364</v>
      </c>
      <c r="Q31" s="183">
        <f>SLOPE(K30:K31,I30:I31)</f>
        <v>13.75</v>
      </c>
      <c r="R31" s="183">
        <f t="shared" ref="R31:R33" si="12">INTERCEPT(K30:K31,I30:I31)</f>
        <v>1815</v>
      </c>
      <c r="S31" s="183">
        <f>SLOPE(L30:L31,I30:I31)</f>
        <v>297.27499999999998</v>
      </c>
      <c r="T31" s="183">
        <f t="shared" ref="T31:T33" si="13">INTERCEPT(L30:L31,I30:I31)</f>
        <v>18241.300000000003</v>
      </c>
      <c r="U31" s="183">
        <f>SLOPE(M30:M31,I30:I31)</f>
        <v>0</v>
      </c>
      <c r="V31" s="183">
        <f t="shared" ref="V31:V33" si="14">INTERCEPT(M30:M31,I30:I31)</f>
        <v>0</v>
      </c>
    </row>
    <row r="32" spans="2:22">
      <c r="C32" s="134" t="s">
        <v>229</v>
      </c>
      <c r="D32" s="143">
        <f>O32*Wärmeerzeugerleistung+P32</f>
        <v>-10951.311475409835</v>
      </c>
      <c r="E32" s="143">
        <f>Q32*Wärmeerzeugerleistung+R32</f>
        <v>1217.2131147540986</v>
      </c>
      <c r="F32" s="143">
        <f>S32*Wärmeerzeugerleistung+T32</f>
        <v>11272.721311475412</v>
      </c>
      <c r="G32" s="143">
        <f>U32*Wärmeerzeugerleistung+V32</f>
        <v>0</v>
      </c>
      <c r="I32" s="136">
        <v>190</v>
      </c>
      <c r="J32" s="180">
        <v>313170</v>
      </c>
      <c r="K32" s="180">
        <v>5500</v>
      </c>
      <c r="L32" s="180">
        <v>87226</v>
      </c>
      <c r="M32" s="68">
        <v>0</v>
      </c>
      <c r="O32" s="183">
        <f>SLOPE(J31:J32,I31:I32)</f>
        <v>1705.9016393442623</v>
      </c>
      <c r="P32" s="183">
        <f>INTERCEPT(J31:J32,I31:I32)</f>
        <v>-10951.311475409835</v>
      </c>
      <c r="Q32" s="183">
        <f>SLOPE(K31:K32,I31:I32)</f>
        <v>22.540983606557376</v>
      </c>
      <c r="R32" s="183">
        <f t="shared" si="12"/>
        <v>1217.2131147540986</v>
      </c>
      <c r="S32" s="183">
        <f>SLOPE(L31:L32,I31:I32)</f>
        <v>399.75409836065575</v>
      </c>
      <c r="T32" s="183">
        <f t="shared" si="13"/>
        <v>11272.721311475412</v>
      </c>
      <c r="U32" s="183">
        <f>SLOPE(M31:M32,I31:I32)</f>
        <v>0</v>
      </c>
      <c r="V32" s="183">
        <f t="shared" si="14"/>
        <v>0</v>
      </c>
    </row>
    <row r="33" spans="2:22">
      <c r="B33" s="138"/>
      <c r="C33" s="135" t="s">
        <v>230</v>
      </c>
      <c r="D33" s="144">
        <f>O33*Wärmeerzeugerleistung+P33</f>
        <v>142464.19354838709</v>
      </c>
      <c r="E33" s="144">
        <f>Q33*Wärmeerzeugerleistung+R33</f>
        <v>4151.6129032258068</v>
      </c>
      <c r="F33" s="144">
        <f>S33*Wärmeerzeugerleistung+T33</f>
        <v>53493.645161290326</v>
      </c>
      <c r="G33" s="144">
        <f>U33*Wärmeerzeugerleistung+V33</f>
        <v>0</v>
      </c>
      <c r="I33" s="137">
        <v>500</v>
      </c>
      <c r="J33" s="182">
        <v>591690</v>
      </c>
      <c r="K33" s="182">
        <v>7700</v>
      </c>
      <c r="L33" s="182">
        <v>142263</v>
      </c>
      <c r="M33" s="69">
        <v>0</v>
      </c>
      <c r="O33" s="183">
        <f>SLOPE(J32:J33,I32:I33)</f>
        <v>898.45161290322585</v>
      </c>
      <c r="P33" s="183">
        <f>INTERCEPT(J32:J33,I32:I33)</f>
        <v>142464.19354838709</v>
      </c>
      <c r="Q33" s="183">
        <f>SLOPE(K32:K33,I32:I33)</f>
        <v>7.096774193548387</v>
      </c>
      <c r="R33" s="183">
        <f t="shared" si="12"/>
        <v>4151.6129032258068</v>
      </c>
      <c r="S33" s="183">
        <f>SLOPE(L32:L33,I32:I33)</f>
        <v>177.53870967741935</v>
      </c>
      <c r="T33" s="183">
        <f t="shared" si="13"/>
        <v>53493.645161290326</v>
      </c>
      <c r="U33" s="183">
        <f>SLOPE(M32:M33,I32:I33)</f>
        <v>0</v>
      </c>
      <c r="V33" s="183">
        <f t="shared" si="14"/>
        <v>0</v>
      </c>
    </row>
    <row r="34" spans="2:22">
      <c r="B34" t="s">
        <v>41</v>
      </c>
      <c r="C34" s="134" t="s">
        <v>226</v>
      </c>
      <c r="D34" s="70" t="s">
        <v>298</v>
      </c>
      <c r="E34" s="70" t="s">
        <v>298</v>
      </c>
      <c r="F34" s="70" t="s">
        <v>298</v>
      </c>
      <c r="G34" s="143">
        <v>0</v>
      </c>
      <c r="I34" s="136">
        <v>7</v>
      </c>
      <c r="J34" s="180"/>
      <c r="K34" s="180"/>
      <c r="L34" s="180"/>
      <c r="M34" s="68">
        <v>0</v>
      </c>
      <c r="O34" s="183"/>
      <c r="P34" s="183"/>
      <c r="Q34" s="183"/>
      <c r="R34" s="183"/>
      <c r="S34" s="183"/>
      <c r="T34" s="183"/>
      <c r="U34" s="183"/>
      <c r="V34" s="183"/>
    </row>
    <row r="35" spans="2:22">
      <c r="C35" s="134" t="s">
        <v>227</v>
      </c>
      <c r="D35" s="70" t="s">
        <v>298</v>
      </c>
      <c r="E35" s="70" t="s">
        <v>298</v>
      </c>
      <c r="F35" s="70" t="s">
        <v>298</v>
      </c>
      <c r="G35" s="143">
        <v>0</v>
      </c>
      <c r="I35" s="136">
        <v>28</v>
      </c>
      <c r="J35" s="180">
        <v>63470</v>
      </c>
      <c r="K35" s="180">
        <v>2200</v>
      </c>
      <c r="L35" s="180">
        <v>26565</v>
      </c>
      <c r="M35" s="68">
        <v>0</v>
      </c>
      <c r="O35" s="183"/>
      <c r="P35" s="183"/>
      <c r="Q35" s="183"/>
      <c r="R35" s="183"/>
      <c r="S35" s="183"/>
      <c r="T35" s="183"/>
      <c r="U35" s="183"/>
      <c r="V35" s="183"/>
    </row>
    <row r="36" spans="2:22">
      <c r="C36" s="134" t="s">
        <v>228</v>
      </c>
      <c r="D36" s="136">
        <f>O36*Wärmeerzeugerleistung+P36</f>
        <v>26664</v>
      </c>
      <c r="E36" s="136">
        <f>Q36*Wärmeerzeugerleistung+R36</f>
        <v>1045</v>
      </c>
      <c r="F36" s="136">
        <f>S36*Wärmeerzeugerleistung+T36</f>
        <v>16183.300000000003</v>
      </c>
      <c r="G36" s="136">
        <f>U36*Wärmeerzeugerleistung+V36</f>
        <v>0</v>
      </c>
      <c r="I36" s="136">
        <v>68</v>
      </c>
      <c r="J36" s="180">
        <v>116050</v>
      </c>
      <c r="K36" s="180">
        <v>3850</v>
      </c>
      <c r="L36" s="180">
        <v>41396</v>
      </c>
      <c r="M36" s="68">
        <v>0</v>
      </c>
      <c r="O36" s="183">
        <f>SLOPE(J35:J36,I35:I36)</f>
        <v>1314.5</v>
      </c>
      <c r="P36" s="183">
        <f>INTERCEPT(J35:J36,I35:I36)</f>
        <v>26664</v>
      </c>
      <c r="Q36" s="183">
        <f>SLOPE(K35:K36,I35:I36)</f>
        <v>41.25</v>
      </c>
      <c r="R36" s="183">
        <f t="shared" ref="R36:R38" si="15">INTERCEPT(K35:K36,I35:I36)</f>
        <v>1045</v>
      </c>
      <c r="S36" s="183">
        <f>SLOPE(L35:L36,I35:I36)</f>
        <v>370.77499999999998</v>
      </c>
      <c r="T36" s="183">
        <f t="shared" ref="T36:T38" si="16">INTERCEPT(L35:L36,I35:I36)</f>
        <v>16183.300000000003</v>
      </c>
      <c r="U36" s="183">
        <f>SLOPE(M35:M36,I35:I36)</f>
        <v>0</v>
      </c>
      <c r="V36" s="183">
        <f t="shared" ref="V36:V38" si="17">INTERCEPT(M35:M36,I35:I36)</f>
        <v>0</v>
      </c>
    </row>
    <row r="37" spans="2:22">
      <c r="C37" s="134" t="s">
        <v>229</v>
      </c>
      <c r="D37" s="143">
        <f>O37*Wärmeerzeugerleistung+P37</f>
        <v>-51452.950819672144</v>
      </c>
      <c r="E37" s="143">
        <f>Q37*Wärmeerzeugerleistung+R37</f>
        <v>2930.3278688524588</v>
      </c>
      <c r="F37" s="143">
        <f>S37*Wärmeerzeugerleistung+T37</f>
        <v>3997.6721311475412</v>
      </c>
      <c r="G37" s="143">
        <f>U37*Wärmeerzeugerleistung+V37</f>
        <v>0</v>
      </c>
      <c r="I37" s="136">
        <v>190</v>
      </c>
      <c r="J37" s="180">
        <v>416570</v>
      </c>
      <c r="K37" s="180">
        <v>5500</v>
      </c>
      <c r="L37" s="180">
        <v>108493</v>
      </c>
      <c r="M37" s="68">
        <v>0</v>
      </c>
      <c r="O37" s="183">
        <f>SLOPE(J36:J37,I36:I37)</f>
        <v>2463.2786885245901</v>
      </c>
      <c r="P37" s="183">
        <f>INTERCEPT(J36:J37,I36:I37)</f>
        <v>-51452.950819672144</v>
      </c>
      <c r="Q37" s="183">
        <f>SLOPE(K36:K37,I36:I37)</f>
        <v>13.524590163934427</v>
      </c>
      <c r="R37" s="183">
        <f t="shared" si="15"/>
        <v>2930.3278688524588</v>
      </c>
      <c r="S37" s="183">
        <f>SLOPE(L36:L37,I36:I37)</f>
        <v>549.97540983606552</v>
      </c>
      <c r="T37" s="183">
        <f t="shared" si="16"/>
        <v>3997.6721311475412</v>
      </c>
      <c r="U37" s="183">
        <f>SLOPE(M36:M37,I36:I37)</f>
        <v>0</v>
      </c>
      <c r="V37" s="183">
        <f t="shared" si="17"/>
        <v>0</v>
      </c>
    </row>
    <row r="38" spans="2:22">
      <c r="B38" s="138"/>
      <c r="C38" s="135" t="s">
        <v>230</v>
      </c>
      <c r="D38" s="144">
        <f>O38*Wärmeerzeugerleistung+P38</f>
        <v>164286.77419354842</v>
      </c>
      <c r="E38" s="144">
        <f>Q38*Wärmeerzeugerleistung+R38</f>
        <v>4151.6129032258068</v>
      </c>
      <c r="F38" s="144">
        <f>S38*Wärmeerzeugerleistung+T38</f>
        <v>61621.838709677424</v>
      </c>
      <c r="G38" s="144">
        <f>U38*Wärmeerzeugerleistung+V38</f>
        <v>0</v>
      </c>
      <c r="I38" s="137">
        <v>500</v>
      </c>
      <c r="J38" s="182">
        <v>828190</v>
      </c>
      <c r="K38" s="182">
        <v>7700</v>
      </c>
      <c r="L38" s="182">
        <v>184967</v>
      </c>
      <c r="M38" s="69">
        <v>0</v>
      </c>
      <c r="O38" s="183">
        <f>SLOPE(J37:J38,I37:I38)</f>
        <v>1327.8064516129032</v>
      </c>
      <c r="P38" s="183">
        <f>INTERCEPT(J37:J38,I37:I38)</f>
        <v>164286.77419354842</v>
      </c>
      <c r="Q38" s="183">
        <f>SLOPE(K37:K38,I37:I38)</f>
        <v>7.096774193548387</v>
      </c>
      <c r="R38" s="183">
        <f t="shared" si="15"/>
        <v>4151.6129032258068</v>
      </c>
      <c r="S38" s="183">
        <f>SLOPE(L37:L38,I37:I38)</f>
        <v>246.69032258064516</v>
      </c>
      <c r="T38" s="183">
        <f t="shared" si="16"/>
        <v>61621.838709677424</v>
      </c>
      <c r="U38" s="183">
        <f>SLOPE(M37:M38,I37:I38)</f>
        <v>0</v>
      </c>
      <c r="V38" s="183">
        <f t="shared" si="17"/>
        <v>0</v>
      </c>
    </row>
    <row r="39" spans="2:22">
      <c r="B39" t="s">
        <v>19</v>
      </c>
      <c r="C39" s="134" t="s">
        <v>226</v>
      </c>
      <c r="D39" s="143">
        <f t="shared" ref="D39" si="18">ROUND(J39,-2)</f>
        <v>36000</v>
      </c>
      <c r="E39" s="143">
        <f>ROUND(K39,-1)</f>
        <v>550</v>
      </c>
      <c r="F39" s="143">
        <f>ROUND(L39,-2)</f>
        <v>11000</v>
      </c>
      <c r="G39" s="143">
        <f>ROUND(M39,-2)</f>
        <v>0</v>
      </c>
      <c r="I39" s="136">
        <v>7</v>
      </c>
      <c r="J39" s="67">
        <v>35970</v>
      </c>
      <c r="K39" s="67">
        <v>550</v>
      </c>
      <c r="L39" s="67">
        <v>10999</v>
      </c>
      <c r="M39" s="67">
        <v>0</v>
      </c>
      <c r="O39" s="183"/>
      <c r="P39" s="183"/>
      <c r="Q39" s="183"/>
      <c r="R39" s="183"/>
      <c r="S39" s="183"/>
      <c r="T39" s="183"/>
      <c r="U39" s="183"/>
      <c r="V39" s="183"/>
    </row>
    <row r="40" spans="2:22">
      <c r="C40" s="134" t="s">
        <v>227</v>
      </c>
      <c r="D40" s="143">
        <f>O40*Wärmeerzeugerleistung+P40</f>
        <v>33623.333333333336</v>
      </c>
      <c r="E40" s="143">
        <f>Q40*Wärmeerzeugerleistung+R40</f>
        <v>550</v>
      </c>
      <c r="F40" s="143">
        <f>S40*Wärmeerzeugerleistung+T40</f>
        <v>10494</v>
      </c>
      <c r="G40" s="143">
        <f>U40*Wärmeerzeugerleistung+V40</f>
        <v>0</v>
      </c>
      <c r="I40" s="136">
        <v>28</v>
      </c>
      <c r="J40" s="67">
        <v>43010</v>
      </c>
      <c r="K40" s="67">
        <v>550</v>
      </c>
      <c r="L40" s="67">
        <v>12514</v>
      </c>
      <c r="M40" s="67">
        <v>0</v>
      </c>
      <c r="O40" s="183">
        <f>SLOPE(J39:J40,I39:I40)</f>
        <v>335.23809523809524</v>
      </c>
      <c r="P40" s="183">
        <f>INTERCEPT(J39:J40,I39:I40)</f>
        <v>33623.333333333336</v>
      </c>
      <c r="Q40" s="183">
        <f>SLOPE(K39:K40,I39:I40)</f>
        <v>0</v>
      </c>
      <c r="R40" s="183">
        <f>INTERCEPT(K39:K40,I39:I40)</f>
        <v>550</v>
      </c>
      <c r="S40" s="183">
        <f>SLOPE(L39:L40,I39:I40)</f>
        <v>72.142857142857139</v>
      </c>
      <c r="T40" s="183">
        <f>INTERCEPT(L39:L40,I39:I40)</f>
        <v>10494</v>
      </c>
      <c r="U40" s="183">
        <f>SLOPE(M39:M40,I39:I40)</f>
        <v>0</v>
      </c>
      <c r="V40" s="183">
        <f>INTERCEPT(M39:M40,I39:I40)</f>
        <v>0</v>
      </c>
    </row>
    <row r="41" spans="2:22">
      <c r="C41" s="134" t="s">
        <v>228</v>
      </c>
      <c r="D41" s="143">
        <f>O41*Wärmeerzeugerleistung+P41</f>
        <v>21527</v>
      </c>
      <c r="E41" s="143">
        <f>Q41*Wärmeerzeugerleistung+R41</f>
        <v>319</v>
      </c>
      <c r="F41" s="143">
        <f>S41*Wärmeerzeugerleistung+T41</f>
        <v>8310.5</v>
      </c>
      <c r="G41" s="143">
        <f>U41*Wärmeerzeugerleistung+V41</f>
        <v>0</v>
      </c>
      <c r="I41" s="136">
        <v>68</v>
      </c>
      <c r="J41" s="67">
        <v>73700</v>
      </c>
      <c r="K41" s="67">
        <v>880</v>
      </c>
      <c r="L41" s="67">
        <v>18519</v>
      </c>
      <c r="M41" s="67">
        <v>0</v>
      </c>
      <c r="O41" s="183">
        <f>SLOPE(J40:J41,I40:I41)</f>
        <v>767.25</v>
      </c>
      <c r="P41" s="183">
        <f>INTERCEPT(J40:J41,I40:I41)</f>
        <v>21527</v>
      </c>
      <c r="Q41" s="183">
        <f>SLOPE(K40:K41,I40:I41)</f>
        <v>8.25</v>
      </c>
      <c r="R41" s="183">
        <f t="shared" ref="R41:R43" si="19">INTERCEPT(K40:K41,I40:I41)</f>
        <v>319</v>
      </c>
      <c r="S41" s="183">
        <f>SLOPE(L40:L41,I40:I41)</f>
        <v>150.125</v>
      </c>
      <c r="T41" s="183">
        <f t="shared" ref="T41:T43" si="20">INTERCEPT(L40:L41,I40:I41)</f>
        <v>8310.5</v>
      </c>
      <c r="U41" s="183">
        <f>SLOPE(M40:M41,I40:I41)</f>
        <v>0</v>
      </c>
      <c r="V41" s="183">
        <f t="shared" ref="V41:V43" si="21">INTERCEPT(M40:M41,I40:I41)</f>
        <v>0</v>
      </c>
    </row>
    <row r="42" spans="2:22">
      <c r="C42" s="134" t="s">
        <v>229</v>
      </c>
      <c r="D42" s="143">
        <f>O42*Wärmeerzeugerleistung+P42</f>
        <v>47703.934426229513</v>
      </c>
      <c r="E42" s="143">
        <f>Q42*Wärmeerzeugerleistung+R42</f>
        <v>757.37704918032784</v>
      </c>
      <c r="F42" s="143">
        <f>S42*Wärmeerzeugerleistung+T42</f>
        <v>14027.098360655737</v>
      </c>
      <c r="G42" s="143">
        <f>U42*Wärmeerzeugerleistung+V42</f>
        <v>0</v>
      </c>
      <c r="I42" s="136">
        <v>190</v>
      </c>
      <c r="J42" s="68">
        <v>120340</v>
      </c>
      <c r="K42" s="68">
        <v>1100</v>
      </c>
      <c r="L42" s="68">
        <v>26578</v>
      </c>
      <c r="M42" s="68">
        <v>0</v>
      </c>
      <c r="O42" s="183">
        <f>SLOPE(J41:J42,I41:I42)</f>
        <v>382.29508196721309</v>
      </c>
      <c r="P42" s="183">
        <f>INTERCEPT(J41:J42,I41:I42)</f>
        <v>47703.934426229513</v>
      </c>
      <c r="Q42" s="183">
        <f>SLOPE(K41:K42,I41:I42)</f>
        <v>1.8032786885245902</v>
      </c>
      <c r="R42" s="183">
        <f t="shared" si="19"/>
        <v>757.37704918032784</v>
      </c>
      <c r="S42" s="183">
        <f>SLOPE(L41:L42,I41:I42)</f>
        <v>66.057377049180332</v>
      </c>
      <c r="T42" s="183">
        <f t="shared" si="20"/>
        <v>14027.098360655737</v>
      </c>
      <c r="U42" s="183">
        <f>SLOPE(M41:M42,I41:I42)</f>
        <v>0</v>
      </c>
      <c r="V42" s="183">
        <f t="shared" si="21"/>
        <v>0</v>
      </c>
    </row>
    <row r="43" spans="2:22">
      <c r="B43" s="138"/>
      <c r="C43" s="135" t="s">
        <v>230</v>
      </c>
      <c r="D43" s="144">
        <f>O43*Wärmeerzeugerleistung+P43</f>
        <v>37279.354838709667</v>
      </c>
      <c r="E43" s="144">
        <f>Q43*Wärmeerzeugerleistung+R43</f>
        <v>-585.48387096774195</v>
      </c>
      <c r="F43" s="144">
        <f>S43*Wärmeerzeugerleistung+T43</f>
        <v>14207.774193548386</v>
      </c>
      <c r="G43" s="144">
        <f>U43*Wärmeerzeugerleistung+V43</f>
        <v>0</v>
      </c>
      <c r="I43" s="137">
        <v>500</v>
      </c>
      <c r="J43" s="69">
        <v>255860</v>
      </c>
      <c r="K43" s="69">
        <v>3850</v>
      </c>
      <c r="L43" s="69">
        <v>46761</v>
      </c>
      <c r="M43" s="69">
        <v>0</v>
      </c>
      <c r="O43" s="183">
        <f>SLOPE(J42:J43,I42:I43)</f>
        <v>437.16129032258067</v>
      </c>
      <c r="P43" s="183">
        <f>INTERCEPT(J42:J43,I42:I43)</f>
        <v>37279.354838709667</v>
      </c>
      <c r="Q43" s="183">
        <f>SLOPE(K42:K43,I42:I43)</f>
        <v>8.870967741935484</v>
      </c>
      <c r="R43" s="183">
        <f t="shared" si="19"/>
        <v>-585.48387096774195</v>
      </c>
      <c r="S43" s="183">
        <f>SLOPE(L42:L43,I42:I43)</f>
        <v>65.106451612903228</v>
      </c>
      <c r="T43" s="183">
        <f t="shared" si="20"/>
        <v>14207.774193548386</v>
      </c>
      <c r="U43" s="183">
        <f>SLOPE(M42:M43,I42:I43)</f>
        <v>0</v>
      </c>
      <c r="V43" s="183">
        <f t="shared" si="21"/>
        <v>0</v>
      </c>
    </row>
    <row r="44" spans="2:22">
      <c r="B44" s="141" t="s">
        <v>44</v>
      </c>
      <c r="C44" s="134" t="s">
        <v>226</v>
      </c>
      <c r="D44" s="143">
        <f t="shared" ref="D44" si="22">ROUND(J44,-2)</f>
        <v>26400</v>
      </c>
      <c r="E44" s="143">
        <f>ROUND(K44,-1)</f>
        <v>550</v>
      </c>
      <c r="F44" s="143">
        <f>ROUND(L44,-2)</f>
        <v>8800</v>
      </c>
      <c r="G44" s="143">
        <f>ROUND(M44,-2)</f>
        <v>0</v>
      </c>
      <c r="I44" s="136">
        <v>7</v>
      </c>
      <c r="J44" s="67">
        <v>26400</v>
      </c>
      <c r="K44" s="136">
        <v>550</v>
      </c>
      <c r="L44" s="136">
        <v>8808</v>
      </c>
      <c r="M44" s="136">
        <v>0</v>
      </c>
      <c r="O44" s="183"/>
      <c r="P44" s="183"/>
      <c r="Q44" s="183"/>
      <c r="R44" s="183"/>
      <c r="S44" s="183"/>
      <c r="T44" s="183"/>
      <c r="U44" s="183"/>
      <c r="V44" s="183"/>
    </row>
    <row r="45" spans="2:22">
      <c r="C45" s="134" t="s">
        <v>227</v>
      </c>
      <c r="D45" s="136">
        <f>O45*Wärmeerzeugerleistung+P45</f>
        <v>24970</v>
      </c>
      <c r="E45" s="136">
        <f>Q45*Wärmeerzeugerleistung+R45</f>
        <v>550</v>
      </c>
      <c r="F45" s="136">
        <f>S45*Wärmeerzeugerleistung+T45</f>
        <v>8473.3333333333339</v>
      </c>
      <c r="G45" s="136">
        <f>U45*Wärmeerzeugerleistung+V45</f>
        <v>0</v>
      </c>
      <c r="I45" s="136">
        <v>28</v>
      </c>
      <c r="J45" s="67">
        <v>30690</v>
      </c>
      <c r="K45" s="136">
        <v>550</v>
      </c>
      <c r="L45" s="136">
        <v>9812</v>
      </c>
      <c r="M45" s="136">
        <v>0</v>
      </c>
      <c r="O45" s="183">
        <f>SLOPE(J44:J45,I44:I45)</f>
        <v>204.28571428571428</v>
      </c>
      <c r="P45" s="183">
        <f>INTERCEPT(J44:J45,I44:I45)</f>
        <v>24970</v>
      </c>
      <c r="Q45" s="183">
        <f>SLOPE(K44:K45,I44:I45)</f>
        <v>0</v>
      </c>
      <c r="R45" s="183">
        <f>INTERCEPT(K44:K45,I44:I45)</f>
        <v>550</v>
      </c>
      <c r="S45" s="183">
        <f>SLOPE(L44:L45,I44:I45)</f>
        <v>47.80952380952381</v>
      </c>
      <c r="T45" s="183">
        <f>INTERCEPT(L44:L45,I44:I45)</f>
        <v>8473.3333333333339</v>
      </c>
      <c r="U45" s="183">
        <f>SLOPE(M44:M45,I44:I45)</f>
        <v>0</v>
      </c>
      <c r="V45" s="183">
        <f>INTERCEPT(M44:M45,I44:I45)</f>
        <v>0</v>
      </c>
    </row>
    <row r="46" spans="2:22">
      <c r="C46" s="134" t="s">
        <v>228</v>
      </c>
      <c r="D46" s="136">
        <f>O46*Wärmeerzeugerleistung+P46</f>
        <v>14674</v>
      </c>
      <c r="E46" s="136">
        <f>Q46*Wärmeerzeugerleistung+R46</f>
        <v>319</v>
      </c>
      <c r="F46" s="136">
        <f>S46*Wärmeerzeugerleistung+T46</f>
        <v>6408.6</v>
      </c>
      <c r="G46" s="136">
        <f>U46*Wärmeerzeugerleistung+V46</f>
        <v>0</v>
      </c>
      <c r="I46" s="136">
        <v>68</v>
      </c>
      <c r="J46" s="67">
        <v>53570</v>
      </c>
      <c r="K46" s="136">
        <v>880</v>
      </c>
      <c r="L46" s="136">
        <v>14674</v>
      </c>
      <c r="M46" s="136">
        <v>0</v>
      </c>
      <c r="O46" s="183">
        <f>SLOPE(J45:J46,I45:I46)</f>
        <v>572</v>
      </c>
      <c r="P46" s="183">
        <f>INTERCEPT(J45:J46,I45:I46)</f>
        <v>14674</v>
      </c>
      <c r="Q46" s="183">
        <f>SLOPE(K45:K46,I45:I46)</f>
        <v>8.25</v>
      </c>
      <c r="R46" s="183">
        <f t="shared" ref="R46:R48" si="23">INTERCEPT(K45:K46,I45:I46)</f>
        <v>319</v>
      </c>
      <c r="S46" s="183">
        <f>SLOPE(L45:L46,I45:I46)</f>
        <v>121.55</v>
      </c>
      <c r="T46" s="183">
        <f t="shared" ref="T46:T48" si="24">INTERCEPT(L45:L46,I45:I46)</f>
        <v>6408.6</v>
      </c>
      <c r="U46" s="183">
        <f>SLOPE(M45:M46,I45:I46)</f>
        <v>0</v>
      </c>
      <c r="V46" s="183">
        <f t="shared" ref="V46:V48" si="25">INTERCEPT(M45:M46,I45:I46)</f>
        <v>0</v>
      </c>
    </row>
    <row r="47" spans="2:22">
      <c r="C47" s="134" t="s">
        <v>229</v>
      </c>
      <c r="D47" s="136">
        <f>O47*Wärmeerzeugerleistung+P47</f>
        <v>22485.081967213118</v>
      </c>
      <c r="E47" s="136">
        <f>Q47*Wärmeerzeugerleistung+R47</f>
        <v>757.37704918032784</v>
      </c>
      <c r="F47" s="136">
        <f>S47*Wärmeerzeugerleistung+T47</f>
        <v>9053.9672131147545</v>
      </c>
      <c r="G47" s="136">
        <f>U47*Wärmeerzeugerleistung+V47</f>
        <v>0</v>
      </c>
      <c r="I47" s="136">
        <v>190</v>
      </c>
      <c r="J47" s="68">
        <v>109340</v>
      </c>
      <c r="K47" s="136">
        <v>1100</v>
      </c>
      <c r="L47" s="136">
        <v>24757</v>
      </c>
      <c r="M47" s="136">
        <v>0</v>
      </c>
      <c r="O47" s="183">
        <f>SLOPE(J46:J47,I46:I47)</f>
        <v>457.13114754098359</v>
      </c>
      <c r="P47" s="183">
        <f>INTERCEPT(J46:J47,I46:I47)</f>
        <v>22485.081967213118</v>
      </c>
      <c r="Q47" s="183">
        <f>SLOPE(K46:K47,I46:I47)</f>
        <v>1.8032786885245902</v>
      </c>
      <c r="R47" s="183">
        <f t="shared" si="23"/>
        <v>757.37704918032784</v>
      </c>
      <c r="S47" s="183">
        <f>SLOPE(L46:L47,I46:I47)</f>
        <v>82.647540983606561</v>
      </c>
      <c r="T47" s="183">
        <f t="shared" si="24"/>
        <v>9053.9672131147545</v>
      </c>
      <c r="U47" s="183">
        <f>SLOPE(M46:M47,I46:I47)</f>
        <v>0</v>
      </c>
      <c r="V47" s="183">
        <f t="shared" si="25"/>
        <v>0</v>
      </c>
    </row>
    <row r="48" spans="2:22">
      <c r="B48" s="138"/>
      <c r="C48" s="135" t="s">
        <v>230</v>
      </c>
      <c r="D48" s="137">
        <f>O48*Wärmeerzeugerleistung+P48</f>
        <v>44280.322580645152</v>
      </c>
      <c r="E48" s="137">
        <f>Q48*Wärmeerzeugerleistung+R48</f>
        <v>-585.48387096774195</v>
      </c>
      <c r="F48" s="137">
        <f>S48*Wärmeerzeugerleistung+T48</f>
        <v>14755.645161290322</v>
      </c>
      <c r="G48" s="137">
        <f>U48*Wärmeerzeugerleistung+V48</f>
        <v>0</v>
      </c>
      <c r="I48" s="137">
        <v>500</v>
      </c>
      <c r="J48" s="69">
        <v>215490</v>
      </c>
      <c r="K48" s="137">
        <v>3850</v>
      </c>
      <c r="L48" s="137">
        <v>41075</v>
      </c>
      <c r="M48" s="137">
        <v>0</v>
      </c>
      <c r="O48" s="183">
        <f>SLOPE(J47:J48,I47:I48)</f>
        <v>342.41935483870969</v>
      </c>
      <c r="P48" s="183">
        <f>INTERCEPT(J47:J48,I47:I48)</f>
        <v>44280.322580645152</v>
      </c>
      <c r="Q48" s="183">
        <f>SLOPE(K47:K48,I47:I48)</f>
        <v>8.870967741935484</v>
      </c>
      <c r="R48" s="183">
        <f t="shared" si="23"/>
        <v>-585.48387096774195</v>
      </c>
      <c r="S48" s="183">
        <f>SLOPE(L47:L48,I47:I48)</f>
        <v>52.638709677419357</v>
      </c>
      <c r="T48" s="183">
        <f t="shared" si="24"/>
        <v>14755.645161290322</v>
      </c>
      <c r="U48" s="183">
        <f>SLOPE(M47:M48,I47:I48)</f>
        <v>0</v>
      </c>
      <c r="V48" s="183">
        <f t="shared" si="25"/>
        <v>0</v>
      </c>
    </row>
    <row r="49" spans="1:22">
      <c r="B49" t="s">
        <v>45</v>
      </c>
      <c r="C49" s="134" t="s">
        <v>226</v>
      </c>
      <c r="D49" s="70" t="s">
        <v>298</v>
      </c>
      <c r="E49" s="70" t="s">
        <v>298</v>
      </c>
      <c r="F49" s="70" t="s">
        <v>298</v>
      </c>
      <c r="G49" s="70" t="s">
        <v>298</v>
      </c>
      <c r="I49" s="136">
        <v>7</v>
      </c>
      <c r="J49" s="136"/>
      <c r="K49" s="136"/>
      <c r="L49" s="136"/>
      <c r="M49" s="136"/>
      <c r="O49" s="183"/>
      <c r="P49" s="183"/>
      <c r="Q49" s="183"/>
      <c r="R49" s="183"/>
      <c r="S49" s="183"/>
      <c r="T49" s="183"/>
      <c r="U49" s="183"/>
      <c r="V49" s="183"/>
    </row>
    <row r="50" spans="1:22">
      <c r="C50" s="134" t="s">
        <v>227</v>
      </c>
      <c r="D50" s="70" t="s">
        <v>298</v>
      </c>
      <c r="E50" s="70" t="s">
        <v>298</v>
      </c>
      <c r="F50" s="70" t="s">
        <v>298</v>
      </c>
      <c r="G50" s="70" t="s">
        <v>298</v>
      </c>
      <c r="I50" s="136">
        <v>28</v>
      </c>
      <c r="J50" s="136"/>
      <c r="K50" s="136"/>
      <c r="L50" s="136"/>
      <c r="M50" s="136"/>
      <c r="O50" s="183"/>
      <c r="P50" s="183"/>
      <c r="Q50" s="183"/>
      <c r="R50" s="183"/>
      <c r="S50" s="183"/>
      <c r="T50" s="183"/>
      <c r="U50" s="183"/>
      <c r="V50" s="183"/>
    </row>
    <row r="51" spans="1:22" ht="17.25">
      <c r="A51" s="178"/>
      <c r="C51" s="134" t="s">
        <v>228</v>
      </c>
      <c r="D51" s="70" t="s">
        <v>298</v>
      </c>
      <c r="E51" s="70" t="s">
        <v>298</v>
      </c>
      <c r="F51" s="70" t="s">
        <v>298</v>
      </c>
      <c r="G51" s="70" t="s">
        <v>298</v>
      </c>
      <c r="I51" s="136">
        <v>68</v>
      </c>
      <c r="J51" s="136"/>
      <c r="K51" s="136"/>
      <c r="L51" s="136"/>
      <c r="M51" s="136"/>
      <c r="O51" s="183"/>
      <c r="P51" s="183"/>
      <c r="Q51" s="183"/>
      <c r="R51" s="183"/>
      <c r="S51" s="183"/>
      <c r="T51" s="183"/>
      <c r="U51" s="183"/>
      <c r="V51" s="183"/>
    </row>
    <row r="52" spans="1:22">
      <c r="C52" s="134" t="s">
        <v>229</v>
      </c>
      <c r="D52" s="70" t="s">
        <v>298</v>
      </c>
      <c r="E52" s="70" t="s">
        <v>298</v>
      </c>
      <c r="F52" s="70" t="s">
        <v>298</v>
      </c>
      <c r="G52" s="70" t="s">
        <v>298</v>
      </c>
      <c r="I52" s="136">
        <v>190</v>
      </c>
      <c r="J52" s="136"/>
      <c r="K52" s="136"/>
      <c r="L52" s="136"/>
      <c r="M52" s="136"/>
      <c r="O52" s="183"/>
      <c r="P52" s="183"/>
      <c r="Q52" s="183"/>
      <c r="R52" s="183"/>
      <c r="S52" s="183"/>
      <c r="T52" s="183"/>
      <c r="U52" s="183"/>
      <c r="V52" s="183"/>
    </row>
    <row r="53" spans="1:22">
      <c r="B53" s="138"/>
      <c r="C53" s="135" t="s">
        <v>230</v>
      </c>
      <c r="D53" s="71" t="s">
        <v>298</v>
      </c>
      <c r="E53" s="71" t="s">
        <v>298</v>
      </c>
      <c r="F53" s="71" t="s">
        <v>298</v>
      </c>
      <c r="G53" s="71" t="s">
        <v>298</v>
      </c>
      <c r="I53" s="137">
        <v>500</v>
      </c>
      <c r="J53" s="137"/>
      <c r="K53" s="137"/>
      <c r="L53" s="137"/>
      <c r="M53" s="137"/>
      <c r="O53" s="183"/>
      <c r="P53" s="183"/>
      <c r="Q53" s="183"/>
      <c r="R53" s="183"/>
      <c r="S53" s="183"/>
      <c r="T53" s="183"/>
      <c r="U53" s="183"/>
      <c r="V53" s="183"/>
    </row>
    <row r="54" spans="1:22">
      <c r="B54" t="s">
        <v>46</v>
      </c>
      <c r="C54" s="134" t="s">
        <v>226</v>
      </c>
      <c r="D54" s="70" t="s">
        <v>298</v>
      </c>
      <c r="E54" s="70" t="s">
        <v>298</v>
      </c>
      <c r="F54" s="70" t="s">
        <v>298</v>
      </c>
      <c r="G54" s="70" t="s">
        <v>298</v>
      </c>
      <c r="I54" s="136">
        <v>7</v>
      </c>
      <c r="J54" s="136"/>
      <c r="K54" s="136"/>
      <c r="L54" s="136"/>
      <c r="M54" s="136"/>
      <c r="O54" s="183"/>
      <c r="P54" s="183"/>
      <c r="Q54" s="183"/>
      <c r="R54" s="183"/>
      <c r="S54" s="183"/>
      <c r="T54" s="183"/>
      <c r="U54" s="183"/>
      <c r="V54" s="183"/>
    </row>
    <row r="55" spans="1:22">
      <c r="C55" s="134" t="s">
        <v>227</v>
      </c>
      <c r="D55" s="70" t="s">
        <v>298</v>
      </c>
      <c r="E55" s="70" t="s">
        <v>298</v>
      </c>
      <c r="F55" s="70" t="s">
        <v>298</v>
      </c>
      <c r="G55" s="70" t="s">
        <v>298</v>
      </c>
      <c r="I55" s="136">
        <v>28</v>
      </c>
      <c r="J55" s="136"/>
      <c r="K55" s="136"/>
      <c r="L55" s="136"/>
      <c r="M55" s="136"/>
      <c r="O55" s="183"/>
      <c r="P55" s="183"/>
      <c r="Q55" s="183"/>
      <c r="R55" s="183"/>
      <c r="S55" s="183"/>
      <c r="T55" s="183"/>
      <c r="U55" s="183"/>
      <c r="V55" s="183"/>
    </row>
    <row r="56" spans="1:22">
      <c r="C56" s="134" t="s">
        <v>228</v>
      </c>
      <c r="D56" s="70" t="s">
        <v>298</v>
      </c>
      <c r="E56" s="70" t="s">
        <v>298</v>
      </c>
      <c r="F56" s="70" t="s">
        <v>298</v>
      </c>
      <c r="G56" s="70" t="s">
        <v>298</v>
      </c>
      <c r="I56" s="136">
        <v>68</v>
      </c>
      <c r="J56" s="136"/>
      <c r="K56" s="136"/>
      <c r="L56" s="136"/>
      <c r="M56" s="136"/>
      <c r="O56" s="183"/>
      <c r="P56" s="183"/>
      <c r="Q56" s="183"/>
      <c r="R56" s="183"/>
      <c r="S56" s="183"/>
      <c r="T56" s="183"/>
      <c r="U56" s="183"/>
      <c r="V56" s="183"/>
    </row>
    <row r="57" spans="1:22">
      <c r="C57" s="134" t="s">
        <v>229</v>
      </c>
      <c r="D57" s="70" t="s">
        <v>298</v>
      </c>
      <c r="E57" s="70" t="s">
        <v>298</v>
      </c>
      <c r="F57" s="70" t="s">
        <v>298</v>
      </c>
      <c r="G57" s="70" t="s">
        <v>298</v>
      </c>
      <c r="I57" s="136">
        <v>190</v>
      </c>
      <c r="J57" s="136"/>
      <c r="K57" s="136"/>
      <c r="L57" s="136"/>
      <c r="M57" s="136"/>
      <c r="O57" s="183"/>
      <c r="P57" s="183"/>
      <c r="Q57" s="183"/>
      <c r="R57" s="183"/>
      <c r="S57" s="183"/>
      <c r="T57" s="183"/>
      <c r="U57" s="183"/>
      <c r="V57" s="183"/>
    </row>
    <row r="58" spans="1:22">
      <c r="B58" s="138"/>
      <c r="C58" s="135" t="s">
        <v>230</v>
      </c>
      <c r="D58" s="71" t="s">
        <v>298</v>
      </c>
      <c r="E58" s="71" t="s">
        <v>298</v>
      </c>
      <c r="F58" s="71" t="s">
        <v>298</v>
      </c>
      <c r="G58" s="71" t="s">
        <v>298</v>
      </c>
      <c r="I58" s="137">
        <v>500</v>
      </c>
      <c r="J58" s="137"/>
      <c r="K58" s="137"/>
      <c r="L58" s="137"/>
      <c r="M58" s="137"/>
      <c r="O58" s="183"/>
      <c r="P58" s="183"/>
      <c r="Q58" s="183"/>
      <c r="R58" s="183"/>
      <c r="S58" s="183"/>
      <c r="T58" s="183"/>
      <c r="U58" s="183"/>
      <c r="V58" s="183"/>
    </row>
    <row r="59" spans="1:22">
      <c r="O59" s="183"/>
      <c r="P59" s="183"/>
      <c r="Q59" s="183"/>
      <c r="R59" s="183"/>
      <c r="S59" s="183"/>
      <c r="T59" s="183"/>
      <c r="U59" s="183"/>
      <c r="V59" s="183"/>
    </row>
    <row r="60" spans="1:22">
      <c r="O60" s="183"/>
      <c r="P60" s="183"/>
      <c r="Q60" s="183"/>
      <c r="R60" s="183"/>
      <c r="S60" s="183"/>
      <c r="T60" s="183"/>
      <c r="U60" s="183"/>
      <c r="V60" s="183"/>
    </row>
    <row r="61" spans="1:22">
      <c r="B61" s="37" t="s">
        <v>409</v>
      </c>
      <c r="L61" s="37" t="s">
        <v>604</v>
      </c>
      <c r="O61" s="183"/>
      <c r="P61" s="183"/>
      <c r="Q61" s="183"/>
      <c r="R61" s="183"/>
      <c r="S61" s="183"/>
      <c r="T61" s="183"/>
      <c r="U61" s="183"/>
      <c r="V61" s="183"/>
    </row>
    <row r="62" spans="1:22">
      <c r="B62" s="141" t="s">
        <v>408</v>
      </c>
      <c r="C62" s="260" t="s">
        <v>417</v>
      </c>
      <c r="D62" s="142">
        <f>IF(Wärmeerzeugerleistung&lt;=$I62,Wärmeerzeugerleistung*J62,0)</f>
        <v>0</v>
      </c>
      <c r="E62" s="142">
        <f>IF(Wärmeerzeugerleistung&lt;=$I62,Wärmeerzeugerleistung*K62,0)</f>
        <v>0</v>
      </c>
      <c r="F62" s="142">
        <f>IF(Wärmeerzeugerleistung&lt;=$I62,Wärmeerzeugerleistung*L62,0)</f>
        <v>0</v>
      </c>
      <c r="G62" s="142">
        <f>IF(Wärmeerzeugerleistung&lt;$I62,Wärmeerzeugerleistung*M62,0)</f>
        <v>0</v>
      </c>
      <c r="I62" s="261">
        <v>10</v>
      </c>
      <c r="J62" s="261">
        <v>0</v>
      </c>
      <c r="K62" s="261">
        <v>0</v>
      </c>
      <c r="L62" s="261">
        <v>1300</v>
      </c>
      <c r="M62" s="261">
        <v>0</v>
      </c>
    </row>
    <row r="63" spans="1:22">
      <c r="C63" s="134" t="s">
        <v>410</v>
      </c>
      <c r="D63" s="143">
        <f>IF(AND(Wärmeerzeugerleistung&gt;$I62,Wärmeerzeugerleistung&lt;=$I63),Wärmeerzeugerleistung*J63,0)</f>
        <v>0</v>
      </c>
      <c r="E63" s="143">
        <f t="shared" ref="D63:G69" si="26">IF(AND(Wärmeerzeugerleistung&gt;$I62,Wärmeerzeugerleistung&lt;=$I63),Wärmeerzeugerleistung*K63,0)</f>
        <v>0</v>
      </c>
      <c r="F63" s="143">
        <f t="shared" si="26"/>
        <v>0</v>
      </c>
      <c r="G63" s="143">
        <f t="shared" si="26"/>
        <v>0</v>
      </c>
      <c r="I63" s="136">
        <v>20</v>
      </c>
      <c r="J63" s="136">
        <v>0</v>
      </c>
      <c r="K63" s="136">
        <v>0</v>
      </c>
      <c r="L63" s="136">
        <v>1200</v>
      </c>
      <c r="M63" s="136">
        <v>0</v>
      </c>
    </row>
    <row r="64" spans="1:22">
      <c r="C64" s="134" t="s">
        <v>411</v>
      </c>
      <c r="D64" s="143">
        <f t="shared" si="26"/>
        <v>0</v>
      </c>
      <c r="E64" s="143">
        <f t="shared" si="26"/>
        <v>0</v>
      </c>
      <c r="F64" s="143">
        <f t="shared" si="26"/>
        <v>0</v>
      </c>
      <c r="G64" s="143">
        <f t="shared" si="26"/>
        <v>0</v>
      </c>
      <c r="I64" s="136">
        <v>40</v>
      </c>
      <c r="J64" s="136">
        <v>0</v>
      </c>
      <c r="K64" s="136">
        <v>0</v>
      </c>
      <c r="L64" s="136">
        <v>800</v>
      </c>
      <c r="M64" s="136">
        <v>0</v>
      </c>
    </row>
    <row r="65" spans="2:13">
      <c r="C65" s="134" t="s">
        <v>412</v>
      </c>
      <c r="D65" s="143">
        <f t="shared" si="26"/>
        <v>0</v>
      </c>
      <c r="E65" s="143">
        <f t="shared" si="26"/>
        <v>0</v>
      </c>
      <c r="F65" s="143">
        <f>IF(AND(Wärmeerzeugerleistung&gt;$I64,Wärmeerzeugerleistung&lt;=$I65),Wärmeerzeugerleistung*L65,0)</f>
        <v>0</v>
      </c>
      <c r="G65" s="143">
        <f t="shared" si="26"/>
        <v>0</v>
      </c>
      <c r="I65" s="136">
        <v>60</v>
      </c>
      <c r="J65" s="136">
        <v>0</v>
      </c>
      <c r="K65" s="136">
        <v>0</v>
      </c>
      <c r="L65" s="136">
        <v>650</v>
      </c>
      <c r="M65" s="136">
        <v>0</v>
      </c>
    </row>
    <row r="66" spans="2:13">
      <c r="C66" s="134" t="s">
        <v>413</v>
      </c>
      <c r="D66" s="143">
        <f t="shared" si="26"/>
        <v>0</v>
      </c>
      <c r="E66" s="143">
        <f t="shared" si="26"/>
        <v>0</v>
      </c>
      <c r="F66" s="143">
        <f t="shared" si="26"/>
        <v>0</v>
      </c>
      <c r="G66" s="143">
        <f t="shared" si="26"/>
        <v>0</v>
      </c>
      <c r="I66" s="136">
        <v>80</v>
      </c>
      <c r="J66" s="136">
        <v>0</v>
      </c>
      <c r="K66" s="136">
        <v>0</v>
      </c>
      <c r="L66" s="136">
        <v>550</v>
      </c>
      <c r="M66" s="136">
        <v>0</v>
      </c>
    </row>
    <row r="67" spans="2:13">
      <c r="C67" s="134" t="s">
        <v>414</v>
      </c>
      <c r="D67" s="143">
        <f t="shared" si="26"/>
        <v>0</v>
      </c>
      <c r="E67" s="143">
        <f t="shared" si="26"/>
        <v>0</v>
      </c>
      <c r="F67" s="143">
        <f t="shared" si="26"/>
        <v>0</v>
      </c>
      <c r="G67" s="143">
        <f t="shared" si="26"/>
        <v>0</v>
      </c>
      <c r="I67" s="136">
        <v>120</v>
      </c>
      <c r="J67" s="136">
        <v>0</v>
      </c>
      <c r="K67" s="136">
        <v>0</v>
      </c>
      <c r="L67" s="136">
        <v>500</v>
      </c>
      <c r="M67" s="136">
        <v>0</v>
      </c>
    </row>
    <row r="68" spans="2:13">
      <c r="C68" s="134" t="s">
        <v>415</v>
      </c>
      <c r="D68" s="143">
        <f t="shared" si="26"/>
        <v>0</v>
      </c>
      <c r="E68" s="143">
        <f t="shared" si="26"/>
        <v>0</v>
      </c>
      <c r="F68" s="143">
        <f t="shared" si="26"/>
        <v>0</v>
      </c>
      <c r="G68" s="143">
        <f t="shared" si="26"/>
        <v>0</v>
      </c>
      <c r="I68" s="136">
        <v>250</v>
      </c>
      <c r="J68" s="136">
        <v>0</v>
      </c>
      <c r="K68" s="136">
        <v>0</v>
      </c>
      <c r="L68" s="136">
        <v>400</v>
      </c>
      <c r="M68" s="136">
        <v>0</v>
      </c>
    </row>
    <row r="69" spans="2:13">
      <c r="C69" s="134" t="s">
        <v>416</v>
      </c>
      <c r="D69" s="143">
        <f t="shared" si="26"/>
        <v>0</v>
      </c>
      <c r="E69" s="143">
        <f t="shared" si="26"/>
        <v>0</v>
      </c>
      <c r="F69" s="143">
        <f>IF(AND(Wärmeerzeugerleistung&gt;$I68,Wärmeerzeugerleistung&lt;=$I69),Wärmeerzeugerleistung*L69,0)</f>
        <v>0</v>
      </c>
      <c r="G69" s="143">
        <f t="shared" si="26"/>
        <v>0</v>
      </c>
      <c r="I69" s="136">
        <v>1000</v>
      </c>
      <c r="J69" s="136">
        <v>0</v>
      </c>
      <c r="K69" s="136">
        <v>0</v>
      </c>
      <c r="L69" s="136">
        <v>350</v>
      </c>
      <c r="M69" s="136">
        <v>0</v>
      </c>
    </row>
    <row r="70" spans="2:13">
      <c r="C70" t="s">
        <v>425</v>
      </c>
      <c r="D70" s="143">
        <f>SUM(D62:D69)</f>
        <v>0</v>
      </c>
      <c r="E70" s="143">
        <f t="shared" ref="E70:G70" si="27">SUM(E62:E69)</f>
        <v>0</v>
      </c>
      <c r="F70" s="143">
        <f t="shared" si="27"/>
        <v>0</v>
      </c>
      <c r="G70" s="143">
        <f t="shared" si="27"/>
        <v>0</v>
      </c>
      <c r="I70" s="136"/>
      <c r="J70" s="136"/>
      <c r="K70" s="136"/>
      <c r="L70" s="136"/>
      <c r="M70" s="136"/>
    </row>
    <row r="71" spans="2:13">
      <c r="B71" s="141" t="s">
        <v>418</v>
      </c>
      <c r="C71" s="260" t="s">
        <v>417</v>
      </c>
      <c r="D71" s="142">
        <f>IF(Wärmeerzeugerleistung&lt;=$I71,Wärmeerzeugerleistung*J71,0)</f>
        <v>0</v>
      </c>
      <c r="E71" s="142">
        <f>IF(Wärmeerzeugerleistung&lt;=$I71,Wärmeerzeugerleistung*K71,0)</f>
        <v>0</v>
      </c>
      <c r="F71" s="142">
        <f>IF(Wärmeerzeugerleistung&lt;=$I71,Wärmeerzeugerleistung*L71,0)</f>
        <v>0</v>
      </c>
      <c r="G71" s="142">
        <f>IF(Wärmeerzeugerleistung&lt;$I71,Wärmeerzeugerleistung*M71,0)</f>
        <v>0</v>
      </c>
      <c r="I71" s="261">
        <v>10</v>
      </c>
      <c r="J71" s="261">
        <v>0</v>
      </c>
      <c r="K71" s="261">
        <v>0</v>
      </c>
      <c r="L71" s="261">
        <v>1600</v>
      </c>
      <c r="M71" s="261">
        <v>0</v>
      </c>
    </row>
    <row r="72" spans="2:13">
      <c r="C72" s="134" t="s">
        <v>410</v>
      </c>
      <c r="D72" s="143">
        <f t="shared" ref="D72:D80" si="28">IF(AND(Wärmeerzeugerleistung&gt;$I71,Wärmeerzeugerleistung&lt;=$I72),Wärmeerzeugerleistung*J72,0)</f>
        <v>0</v>
      </c>
      <c r="E72" s="143">
        <f t="shared" ref="E72:E80" si="29">IF(AND(Wärmeerzeugerleistung&gt;$I71,Wärmeerzeugerleistung&lt;=$I72),Wärmeerzeugerleistung*K72,0)</f>
        <v>0</v>
      </c>
      <c r="F72" s="143">
        <f t="shared" ref="F72:F80" si="30">IF(AND(Wärmeerzeugerleistung&gt;$I71,Wärmeerzeugerleistung&lt;=$I72),Wärmeerzeugerleistung*L72,0)</f>
        <v>0</v>
      </c>
      <c r="G72" s="143">
        <f t="shared" ref="G72:G80" si="31">IF(AND(Wärmeerzeugerleistung&gt;$I71,Wärmeerzeugerleistung&lt;=$I72),Wärmeerzeugerleistung*M72,0)</f>
        <v>0</v>
      </c>
      <c r="I72" s="136">
        <v>20</v>
      </c>
      <c r="J72" s="136">
        <v>0</v>
      </c>
      <c r="K72" s="136">
        <v>0</v>
      </c>
      <c r="L72" s="136">
        <v>1300</v>
      </c>
      <c r="M72" s="136">
        <v>0</v>
      </c>
    </row>
    <row r="73" spans="2:13">
      <c r="C73" s="134" t="s">
        <v>411</v>
      </c>
      <c r="D73" s="143">
        <f t="shared" si="28"/>
        <v>0</v>
      </c>
      <c r="E73" s="143">
        <f t="shared" si="29"/>
        <v>0</v>
      </c>
      <c r="F73" s="143">
        <f t="shared" si="30"/>
        <v>0</v>
      </c>
      <c r="G73" s="143">
        <f t="shared" si="31"/>
        <v>0</v>
      </c>
      <c r="I73" s="136">
        <v>40</v>
      </c>
      <c r="J73" s="136">
        <v>0</v>
      </c>
      <c r="K73" s="136">
        <v>0</v>
      </c>
      <c r="L73" s="136">
        <v>1000</v>
      </c>
      <c r="M73" s="136">
        <v>0</v>
      </c>
    </row>
    <row r="74" spans="2:13">
      <c r="C74" s="134" t="s">
        <v>412</v>
      </c>
      <c r="D74" s="143">
        <f t="shared" si="28"/>
        <v>0</v>
      </c>
      <c r="E74" s="143">
        <f t="shared" si="29"/>
        <v>0</v>
      </c>
      <c r="F74" s="143">
        <f t="shared" si="30"/>
        <v>0</v>
      </c>
      <c r="G74" s="143">
        <f t="shared" si="31"/>
        <v>0</v>
      </c>
      <c r="I74" s="136">
        <v>60</v>
      </c>
      <c r="J74" s="136">
        <v>0</v>
      </c>
      <c r="K74" s="136">
        <v>0</v>
      </c>
      <c r="L74" s="136">
        <v>750</v>
      </c>
      <c r="M74" s="136">
        <v>0</v>
      </c>
    </row>
    <row r="75" spans="2:13">
      <c r="C75" s="134" t="s">
        <v>413</v>
      </c>
      <c r="D75" s="143">
        <f t="shared" si="28"/>
        <v>0</v>
      </c>
      <c r="E75" s="143">
        <f t="shared" si="29"/>
        <v>0</v>
      </c>
      <c r="F75" s="143">
        <f t="shared" si="30"/>
        <v>0</v>
      </c>
      <c r="G75" s="143">
        <f t="shared" si="31"/>
        <v>0</v>
      </c>
      <c r="I75" s="136">
        <v>80</v>
      </c>
      <c r="J75" s="136">
        <v>0</v>
      </c>
      <c r="K75" s="136">
        <v>0</v>
      </c>
      <c r="L75" s="136">
        <v>580</v>
      </c>
      <c r="M75" s="136">
        <v>0</v>
      </c>
    </row>
    <row r="76" spans="2:13">
      <c r="C76" s="134" t="s">
        <v>414</v>
      </c>
      <c r="D76" s="143">
        <f t="shared" si="28"/>
        <v>0</v>
      </c>
      <c r="E76" s="143">
        <f t="shared" si="29"/>
        <v>0</v>
      </c>
      <c r="F76" s="143">
        <f t="shared" si="30"/>
        <v>0</v>
      </c>
      <c r="G76" s="143">
        <f t="shared" si="31"/>
        <v>0</v>
      </c>
      <c r="I76" s="136">
        <v>120</v>
      </c>
      <c r="J76" s="136">
        <v>0</v>
      </c>
      <c r="K76" s="136">
        <v>0</v>
      </c>
      <c r="L76" s="136">
        <v>510</v>
      </c>
      <c r="M76" s="136">
        <v>0</v>
      </c>
    </row>
    <row r="77" spans="2:13">
      <c r="C77" s="134" t="s">
        <v>419</v>
      </c>
      <c r="D77" s="143">
        <f t="shared" si="28"/>
        <v>0</v>
      </c>
      <c r="E77" s="143">
        <f t="shared" si="29"/>
        <v>0</v>
      </c>
      <c r="F77" s="143">
        <f t="shared" si="30"/>
        <v>0</v>
      </c>
      <c r="G77" s="143">
        <f t="shared" si="31"/>
        <v>0</v>
      </c>
      <c r="I77" s="136">
        <v>180</v>
      </c>
      <c r="J77" s="136">
        <v>0</v>
      </c>
      <c r="K77" s="136">
        <v>0</v>
      </c>
      <c r="L77" s="136">
        <v>445</v>
      </c>
      <c r="M77" s="136">
        <v>0</v>
      </c>
    </row>
    <row r="78" spans="2:13">
      <c r="C78" s="134" t="s">
        <v>420</v>
      </c>
      <c r="D78" s="143">
        <f t="shared" si="28"/>
        <v>0</v>
      </c>
      <c r="E78" s="143">
        <f t="shared" si="29"/>
        <v>0</v>
      </c>
      <c r="F78" s="143">
        <f t="shared" si="30"/>
        <v>0</v>
      </c>
      <c r="G78" s="143">
        <f t="shared" si="31"/>
        <v>0</v>
      </c>
      <c r="I78" s="136">
        <v>250</v>
      </c>
      <c r="J78" s="136">
        <v>0</v>
      </c>
      <c r="K78" s="136">
        <v>0</v>
      </c>
      <c r="L78" s="136">
        <v>400</v>
      </c>
      <c r="M78" s="136">
        <v>0</v>
      </c>
    </row>
    <row r="79" spans="2:13">
      <c r="C79" s="134" t="s">
        <v>421</v>
      </c>
      <c r="D79" s="143">
        <f t="shared" si="28"/>
        <v>0</v>
      </c>
      <c r="E79" s="143">
        <f t="shared" si="29"/>
        <v>0</v>
      </c>
      <c r="F79" s="143">
        <f t="shared" si="30"/>
        <v>0</v>
      </c>
      <c r="G79" s="143">
        <f>IF(AND(Wärmeerzeugerleistung&gt;$I78,Wärmeerzeugerleistung&lt;=$I79),Wärmeerzeugerleistung*M79,0)</f>
        <v>0</v>
      </c>
      <c r="I79" s="136">
        <v>500</v>
      </c>
      <c r="J79" s="136">
        <v>0</v>
      </c>
      <c r="K79" s="136">
        <v>0</v>
      </c>
      <c r="L79" s="136">
        <v>360</v>
      </c>
      <c r="M79" s="136">
        <v>0</v>
      </c>
    </row>
    <row r="80" spans="2:13">
      <c r="C80" s="134" t="s">
        <v>416</v>
      </c>
      <c r="D80" s="143">
        <f t="shared" si="28"/>
        <v>0</v>
      </c>
      <c r="E80" s="143">
        <f t="shared" si="29"/>
        <v>0</v>
      </c>
      <c r="F80" s="143">
        <f t="shared" si="30"/>
        <v>0</v>
      </c>
      <c r="G80" s="143">
        <f t="shared" si="31"/>
        <v>0</v>
      </c>
      <c r="I80" s="136">
        <v>1000</v>
      </c>
      <c r="J80" s="136">
        <v>0</v>
      </c>
      <c r="K80" s="136">
        <v>0</v>
      </c>
      <c r="L80" s="136">
        <v>325</v>
      </c>
      <c r="M80" s="136">
        <v>0</v>
      </c>
    </row>
    <row r="81" spans="2:13">
      <c r="B81" s="138"/>
      <c r="C81" s="135" t="s">
        <v>425</v>
      </c>
      <c r="D81" s="144">
        <f>SUM(D71:D80)</f>
        <v>0</v>
      </c>
      <c r="E81" s="144">
        <f t="shared" ref="E81:M81" si="32">SUM(E71:E80)</f>
        <v>0</v>
      </c>
      <c r="F81" s="144">
        <f t="shared" si="32"/>
        <v>0</v>
      </c>
      <c r="G81" s="144">
        <f t="shared" si="32"/>
        <v>0</v>
      </c>
      <c r="H81" s="143"/>
      <c r="I81" s="144">
        <f t="shared" si="32"/>
        <v>2260</v>
      </c>
      <c r="J81" s="144">
        <f t="shared" si="32"/>
        <v>0</v>
      </c>
      <c r="K81" s="144">
        <f t="shared" si="32"/>
        <v>0</v>
      </c>
      <c r="L81" s="144">
        <f t="shared" si="32"/>
        <v>7270</v>
      </c>
      <c r="M81" s="144">
        <f t="shared" si="32"/>
        <v>0</v>
      </c>
    </row>
    <row r="82" spans="2:13">
      <c r="C82"/>
    </row>
  </sheetData>
  <mergeCells count="7">
    <mergeCell ref="U2:V2"/>
    <mergeCell ref="O1:V1"/>
    <mergeCell ref="C2:G2"/>
    <mergeCell ref="I1:M1"/>
    <mergeCell ref="O2:P2"/>
    <mergeCell ref="Q2:R2"/>
    <mergeCell ref="S2:T2"/>
  </mergeCells>
  <pageMargins left="0.51181102362204722" right="0.51181102362204722" top="0.59055118110236227" bottom="0.59055118110236227" header="0.31496062992125984" footer="0.31496062992125984"/>
  <pageSetup paperSize="9" scale="53" fitToWidth="0" orientation="landscape" r:id="rId1"/>
  <ignoredErrors>
    <ignoredError sqref="O9:V19 O29:V48 O28:V28 O21:V21 P20:V20 O23:V27 O22 Q22:V22" formulaRange="1"/>
    <ignoredError sqref="D29:G29 D39:E39 D44:E44 F44:G44 F39:G3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H19"/>
  <sheetViews>
    <sheetView workbookViewId="0">
      <selection activeCell="B20" sqref="B20"/>
    </sheetView>
  </sheetViews>
  <sheetFormatPr baseColWidth="10" defaultColWidth="10.85546875" defaultRowHeight="15"/>
  <cols>
    <col min="1" max="1" width="31.5703125" style="16" customWidth="1"/>
    <col min="2" max="2" width="20.42578125" style="16" bestFit="1" customWidth="1"/>
    <col min="3" max="3" width="25.28515625" style="16" bestFit="1" customWidth="1"/>
    <col min="4" max="4" width="25.28515625" style="16" customWidth="1"/>
    <col min="5" max="5" width="32" style="16" bestFit="1" customWidth="1"/>
    <col min="6" max="6" width="32" style="16" customWidth="1"/>
    <col min="7" max="7" width="32" style="16" bestFit="1" customWidth="1"/>
    <col min="8" max="16384" width="10.85546875" style="16"/>
  </cols>
  <sheetData>
    <row r="1" spans="1:8" s="15" customFormat="1">
      <c r="A1" s="547" t="s">
        <v>403</v>
      </c>
      <c r="B1" s="547"/>
      <c r="C1" s="14"/>
      <c r="D1" s="14"/>
      <c r="E1" s="14"/>
      <c r="F1" s="14"/>
      <c r="G1" s="14"/>
      <c r="H1" s="14"/>
    </row>
    <row r="2" spans="1:8">
      <c r="A2" s="14"/>
      <c r="B2" s="12"/>
      <c r="C2" s="12"/>
      <c r="D2" s="12"/>
      <c r="E2" s="12"/>
      <c r="F2" s="12"/>
      <c r="G2" s="12"/>
      <c r="H2" s="12"/>
    </row>
    <row r="3" spans="1:8">
      <c r="A3" s="17" t="s">
        <v>47</v>
      </c>
      <c r="B3" s="17" t="s">
        <v>73</v>
      </c>
      <c r="C3" s="17" t="s">
        <v>74</v>
      </c>
      <c r="D3" s="17" t="s">
        <v>75</v>
      </c>
      <c r="E3" s="17" t="s">
        <v>76</v>
      </c>
      <c r="F3" s="12"/>
      <c r="G3" s="12"/>
      <c r="H3" s="12"/>
    </row>
    <row r="4" spans="1:8">
      <c r="A4" s="18"/>
      <c r="B4" s="18">
        <f>MIN(MAX(8200,7000+80*MIN(Wärmeerzeugerleistung,50*EBF/1000)),MIN(150000,27000+40*MIN(Wärmeerzeugerleistung,50*EBF/1000)))</f>
        <v>8200</v>
      </c>
      <c r="C4" s="18"/>
      <c r="D4" s="18"/>
      <c r="E4" s="18"/>
      <c r="F4" s="12"/>
      <c r="G4" s="12"/>
      <c r="H4" s="12"/>
    </row>
    <row r="5" spans="1:8">
      <c r="A5" s="17" t="s">
        <v>18</v>
      </c>
      <c r="B5" s="17" t="s">
        <v>345</v>
      </c>
      <c r="C5" s="20" t="s">
        <v>793</v>
      </c>
      <c r="F5" s="12"/>
      <c r="G5" s="12"/>
      <c r="H5" s="12"/>
    </row>
    <row r="6" spans="1:8">
      <c r="A6" s="18"/>
      <c r="B6" s="18">
        <f>MAX(4000, 2500 + 100*MIN(Wärmeerzeugerleistung,50*EBF/1000))</f>
        <v>4000</v>
      </c>
      <c r="C6" s="18">
        <f>MIN(150000, 3200 + 120*MIN(Wärmeerzeugerleistung,50*EBF/1000))</f>
        <v>3200</v>
      </c>
      <c r="D6" s="19"/>
      <c r="E6" s="19"/>
      <c r="F6" s="12"/>
      <c r="G6" s="12"/>
      <c r="H6" s="12"/>
    </row>
    <row r="7" spans="1:8">
      <c r="A7" s="12" t="s">
        <v>72</v>
      </c>
      <c r="B7" s="12" t="s">
        <v>345</v>
      </c>
      <c r="C7" s="12" t="s">
        <v>793</v>
      </c>
      <c r="D7" s="12"/>
      <c r="E7" s="12"/>
      <c r="F7" s="12"/>
      <c r="G7" s="12"/>
    </row>
    <row r="8" spans="1:8">
      <c r="A8" s="18"/>
      <c r="B8" s="18">
        <f>MAX(8500, 4000 + 300*MIN(Wärmeerzeugerleistung,50*EBF/1000))</f>
        <v>8500</v>
      </c>
      <c r="C8" s="18">
        <f>MIN(150000, 4800 + 360*MIN(Wärmeerzeugerleistung,50*EBF/1000))</f>
        <v>4800</v>
      </c>
      <c r="D8" s="18"/>
      <c r="E8" s="18"/>
      <c r="F8" s="12"/>
      <c r="G8" s="12"/>
    </row>
    <row r="9" spans="1:8">
      <c r="A9" s="17" t="s">
        <v>69</v>
      </c>
      <c r="B9" s="20" t="s">
        <v>345</v>
      </c>
      <c r="C9" s="17" t="s">
        <v>793</v>
      </c>
      <c r="D9" s="17"/>
      <c r="E9" s="12"/>
      <c r="F9" s="12"/>
      <c r="G9" s="12"/>
      <c r="H9" s="12"/>
    </row>
    <row r="10" spans="1:8">
      <c r="A10" s="18"/>
      <c r="B10" s="19">
        <f>MAX(8000, 5000 + 200*MIN(Wärmeerzeugerleistung,50*EBF/1000))</f>
        <v>8000</v>
      </c>
      <c r="C10" s="18">
        <f>MIN(150000,360*MIN(Wärmeerzeugerleistung,50*EBF/1000))</f>
        <v>0</v>
      </c>
      <c r="D10" s="18"/>
      <c r="E10" s="18"/>
      <c r="F10" s="12"/>
      <c r="G10" s="12"/>
      <c r="H10" s="12"/>
    </row>
    <row r="11" spans="1:8">
      <c r="B11" s="12"/>
      <c r="C11" s="12"/>
      <c r="D11" s="12"/>
      <c r="E11" s="12"/>
      <c r="F11" s="12"/>
      <c r="G11" s="12"/>
      <c r="H11" s="12"/>
    </row>
    <row r="12" spans="1:8">
      <c r="A12" s="547" t="s">
        <v>404</v>
      </c>
      <c r="B12" s="547"/>
      <c r="C12" s="12"/>
      <c r="D12" s="12"/>
      <c r="E12" s="12"/>
      <c r="F12" s="12"/>
      <c r="G12" s="12"/>
      <c r="H12" s="12"/>
    </row>
    <row r="13" spans="1:8">
      <c r="A13" s="14"/>
      <c r="B13" s="12"/>
      <c r="C13" s="12"/>
      <c r="D13" s="12"/>
      <c r="E13" s="12"/>
    </row>
    <row r="14" spans="1:8">
      <c r="A14" s="17" t="s">
        <v>47</v>
      </c>
      <c r="B14" s="17" t="s">
        <v>73</v>
      </c>
      <c r="C14" s="17" t="s">
        <v>74</v>
      </c>
      <c r="D14" s="17" t="s">
        <v>75</v>
      </c>
      <c r="E14" s="17" t="s">
        <v>76</v>
      </c>
    </row>
    <row r="15" spans="1:8">
      <c r="A15" s="18"/>
      <c r="B15" s="18">
        <f>MAX(4100, 3500 + 40*MIN(Wärmeerzeugerleistung,50*EBF/1000))</f>
        <v>4100</v>
      </c>
      <c r="C15" s="18"/>
      <c r="D15" s="18" t="s">
        <v>344</v>
      </c>
      <c r="E15" s="18"/>
    </row>
    <row r="16" spans="1:8">
      <c r="A16" s="17" t="s">
        <v>18</v>
      </c>
      <c r="B16" s="17" t="s">
        <v>70</v>
      </c>
      <c r="C16" s="17" t="s">
        <v>71</v>
      </c>
    </row>
    <row r="17" spans="1:5">
      <c r="A17" s="18"/>
      <c r="B17" s="18">
        <f>MAX(4000,2500 + 100*MIN(Wärmeerzeugerleistung,50*EBF/1000))</f>
        <v>4000</v>
      </c>
      <c r="C17" s="18"/>
      <c r="D17" s="19"/>
      <c r="E17" s="19"/>
    </row>
    <row r="18" spans="1:5">
      <c r="A18" s="12" t="s">
        <v>72</v>
      </c>
      <c r="B18" s="12" t="s">
        <v>73</v>
      </c>
      <c r="C18" s="12" t="s">
        <v>74</v>
      </c>
      <c r="D18" s="12" t="s">
        <v>75</v>
      </c>
      <c r="E18" s="12" t="s">
        <v>76</v>
      </c>
    </row>
    <row r="19" spans="1:5">
      <c r="A19" s="18"/>
      <c r="B19" s="18">
        <f>MAX(8500,4000 + 300*MIN(Wärmeerzeugerleistung,50*EBF/1000))</f>
        <v>8500</v>
      </c>
      <c r="C19" s="18"/>
      <c r="D19" s="18"/>
      <c r="E19" s="18"/>
    </row>
  </sheetData>
  <mergeCells count="2">
    <mergeCell ref="A1:B1"/>
    <mergeCell ref="A12:B12"/>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5"/>
  <sheetViews>
    <sheetView workbookViewId="0">
      <selection activeCell="D6" sqref="D6"/>
    </sheetView>
  </sheetViews>
  <sheetFormatPr baseColWidth="10" defaultRowHeight="15"/>
  <cols>
    <col min="2" max="2" width="23.7109375" customWidth="1"/>
    <col min="3" max="3" width="42.5703125" customWidth="1"/>
    <col min="4" max="4" width="36.42578125" customWidth="1"/>
    <col min="5" max="5" width="27.85546875" customWidth="1"/>
  </cols>
  <sheetData>
    <row r="1" spans="1:5">
      <c r="A1" s="56">
        <v>5.0999999999999996</v>
      </c>
      <c r="B1" s="2" t="s">
        <v>180</v>
      </c>
      <c r="C1" s="327"/>
      <c r="D1" s="1"/>
      <c r="E1" s="1"/>
    </row>
    <row r="2" spans="1:5">
      <c r="A2" s="56"/>
      <c r="B2" s="2"/>
      <c r="C2" s="327"/>
      <c r="D2" s="1"/>
      <c r="E2" s="1"/>
    </row>
    <row r="3" spans="1:5">
      <c r="B3" s="3" t="s">
        <v>547</v>
      </c>
      <c r="C3" s="328">
        <f>Wärmeerzeugerleistung</f>
        <v>0</v>
      </c>
      <c r="D3" s="3"/>
    </row>
    <row r="4" spans="1:5">
      <c r="B4" s="3" t="s">
        <v>548</v>
      </c>
      <c r="C4" s="328" t="str">
        <f>NEB</f>
        <v xml:space="preserve"> </v>
      </c>
      <c r="D4" s="3"/>
    </row>
    <row r="5" spans="1:5" ht="36.75">
      <c r="B5" s="329" t="s">
        <v>784</v>
      </c>
      <c r="C5" s="330">
        <v>0.75</v>
      </c>
      <c r="D5" s="3"/>
    </row>
    <row r="6" spans="1:5">
      <c r="B6" s="3"/>
      <c r="C6" s="3"/>
      <c r="D6" s="3"/>
    </row>
    <row r="7" spans="1:5">
      <c r="B7" s="24" t="s">
        <v>47</v>
      </c>
      <c r="C7" s="3"/>
      <c r="D7" s="3"/>
    </row>
    <row r="8" spans="1:5">
      <c r="B8" s="3" t="s">
        <v>549</v>
      </c>
      <c r="C8" s="3" t="s">
        <v>172</v>
      </c>
      <c r="D8" s="3" t="s">
        <v>550</v>
      </c>
    </row>
    <row r="9" spans="1:5">
      <c r="B9" s="3" t="s">
        <v>551</v>
      </c>
      <c r="C9" s="331" t="s">
        <v>552</v>
      </c>
      <c r="D9" s="3">
        <f t="shared" ref="D9:D15" si="0">Faktor*D49</f>
        <v>18</v>
      </c>
    </row>
    <row r="10" spans="1:5">
      <c r="B10" s="3" t="s">
        <v>553</v>
      </c>
      <c r="C10" s="331" t="s">
        <v>552</v>
      </c>
      <c r="D10" s="3">
        <f t="shared" si="0"/>
        <v>9</v>
      </c>
    </row>
    <row r="11" spans="1:5">
      <c r="B11" s="3" t="s">
        <v>554</v>
      </c>
      <c r="C11" s="331" t="s">
        <v>552</v>
      </c>
      <c r="D11" s="3">
        <f>Faktor*D51</f>
        <v>18</v>
      </c>
    </row>
    <row r="12" spans="1:5">
      <c r="B12" s="3" t="s">
        <v>555</v>
      </c>
      <c r="C12" s="331" t="s">
        <v>552</v>
      </c>
      <c r="D12" s="3">
        <f t="shared" si="0"/>
        <v>21</v>
      </c>
    </row>
    <row r="13" spans="1:5">
      <c r="B13" s="3" t="s">
        <v>556</v>
      </c>
      <c r="C13" s="331" t="s">
        <v>552</v>
      </c>
      <c r="D13" s="3">
        <f t="shared" si="0"/>
        <v>27.999299999999998</v>
      </c>
    </row>
    <row r="14" spans="1:5">
      <c r="B14" s="3" t="s">
        <v>557</v>
      </c>
      <c r="C14" s="331" t="s">
        <v>552</v>
      </c>
      <c r="D14" s="3">
        <f t="shared" si="0"/>
        <v>31.5</v>
      </c>
    </row>
    <row r="15" spans="1:5">
      <c r="B15" s="3" t="s">
        <v>558</v>
      </c>
      <c r="C15" s="331" t="s">
        <v>552</v>
      </c>
      <c r="D15" s="3">
        <f t="shared" si="0"/>
        <v>33.75</v>
      </c>
    </row>
    <row r="17" spans="2:4">
      <c r="B17" s="24" t="s">
        <v>780</v>
      </c>
      <c r="C17" s="3"/>
      <c r="D17" s="3"/>
    </row>
    <row r="18" spans="2:4">
      <c r="B18" s="3" t="s">
        <v>549</v>
      </c>
      <c r="C18" s="3" t="s">
        <v>172</v>
      </c>
      <c r="D18" s="3" t="s">
        <v>550</v>
      </c>
    </row>
    <row r="19" spans="2:4">
      <c r="B19" s="3" t="s">
        <v>551</v>
      </c>
      <c r="C19" s="331" t="s">
        <v>559</v>
      </c>
      <c r="D19" s="3">
        <f>15*2.4</f>
        <v>36</v>
      </c>
    </row>
    <row r="20" spans="2:4">
      <c r="B20" s="3" t="s">
        <v>553</v>
      </c>
      <c r="C20" s="331" t="s">
        <v>560</v>
      </c>
      <c r="D20" s="3">
        <f>(0.4*Wärmeerzeugerleistung+5)*2.4</f>
        <v>12</v>
      </c>
    </row>
    <row r="21" spans="2:4">
      <c r="B21" s="3" t="s">
        <v>554</v>
      </c>
      <c r="C21" s="331" t="s">
        <v>561</v>
      </c>
      <c r="D21" s="3">
        <f>(0.2*Wärmeerzeugerleistung+15)*2.4</f>
        <v>36</v>
      </c>
    </row>
    <row r="22" spans="2:4">
      <c r="B22" s="3" t="s">
        <v>555</v>
      </c>
      <c r="C22" s="331" t="s">
        <v>562</v>
      </c>
      <c r="D22" s="3">
        <f>(0.2*Wärmeerzeugerleistung+15)*2.8</f>
        <v>42</v>
      </c>
    </row>
    <row r="23" spans="2:4">
      <c r="B23" s="3" t="s">
        <v>556</v>
      </c>
      <c r="C23" s="331" t="s">
        <v>563</v>
      </c>
      <c r="D23" s="3">
        <f>(0.1667*Wärmeerzeugerleistung+18.333)*3</f>
        <v>54.998999999999995</v>
      </c>
    </row>
    <row r="24" spans="2:4">
      <c r="B24" s="3" t="s">
        <v>564</v>
      </c>
      <c r="C24" s="331" t="s">
        <v>565</v>
      </c>
      <c r="D24" s="3">
        <f>(0.16*Wärmeerzeugerleistung+20)*3.5</f>
        <v>70</v>
      </c>
    </row>
    <row r="27" spans="2:4">
      <c r="B27" s="24" t="s">
        <v>785</v>
      </c>
      <c r="C27" s="3"/>
      <c r="D27" s="3"/>
    </row>
    <row r="28" spans="2:4">
      <c r="B28" s="3" t="s">
        <v>549</v>
      </c>
      <c r="C28" s="3" t="s">
        <v>172</v>
      </c>
      <c r="D28" s="3" t="s">
        <v>550</v>
      </c>
    </row>
    <row r="29" spans="2:4">
      <c r="B29" s="3" t="s">
        <v>566</v>
      </c>
      <c r="C29" s="331" t="s">
        <v>567</v>
      </c>
      <c r="D29" s="3" t="e" cm="1">
        <f t="array" ref="D29">NEB/(5.5*600*0.7)</f>
        <v>#VALUE!</v>
      </c>
    </row>
    <row r="31" spans="2:4">
      <c r="B31" s="24" t="s">
        <v>786</v>
      </c>
      <c r="C31" s="3"/>
      <c r="D31" s="3"/>
    </row>
    <row r="32" spans="2:4">
      <c r="B32" s="3" t="s">
        <v>549</v>
      </c>
      <c r="C32" s="3" t="s">
        <v>172</v>
      </c>
      <c r="D32" s="3" t="s">
        <v>550</v>
      </c>
    </row>
    <row r="33" spans="2:5">
      <c r="B33" s="3" t="s">
        <v>566</v>
      </c>
      <c r="C33" s="331" t="s">
        <v>568</v>
      </c>
      <c r="D33" s="3" t="e" cm="1">
        <f t="array" ref="D33">NEB/(1000*0.7)</f>
        <v>#VALUE!</v>
      </c>
    </row>
    <row r="36" spans="2:5">
      <c r="B36" s="24" t="s">
        <v>19</v>
      </c>
      <c r="C36" s="3"/>
      <c r="D36" s="3"/>
    </row>
    <row r="37" spans="2:5">
      <c r="B37" s="3" t="s">
        <v>549</v>
      </c>
      <c r="C37" s="3" t="s">
        <v>569</v>
      </c>
      <c r="D37" s="3" t="s">
        <v>781</v>
      </c>
      <c r="E37" s="3" t="s">
        <v>783</v>
      </c>
    </row>
    <row r="38" spans="2:5">
      <c r="B38" s="3" t="s">
        <v>551</v>
      </c>
      <c r="C38" s="331" t="s">
        <v>570</v>
      </c>
      <c r="D38" s="331" t="s">
        <v>782</v>
      </c>
      <c r="E38" s="3" t="e" cm="1">
        <f t="array" ref="E38">10*2.4+NEB/(10^4*0.7)</f>
        <v>#VALUE!</v>
      </c>
    </row>
    <row r="39" spans="2:5">
      <c r="B39" s="3" t="s">
        <v>553</v>
      </c>
      <c r="C39" s="331" t="s">
        <v>571</v>
      </c>
      <c r="D39" s="331" t="s">
        <v>782</v>
      </c>
      <c r="E39" s="3" t="e" cm="1">
        <f t="array" ref="E39">(0.2*Wärmeerzeugerleistung+5)*2.4+NEB/(10^4*0.7)</f>
        <v>#VALUE!</v>
      </c>
    </row>
    <row r="40" spans="2:5">
      <c r="B40" s="3" t="s">
        <v>554</v>
      </c>
      <c r="C40" s="331" t="s">
        <v>572</v>
      </c>
      <c r="D40" s="331" t="s">
        <v>782</v>
      </c>
      <c r="E40" s="3" t="e" cm="1">
        <f t="array" ref="E40">(0.1*Wärmeerzeugerleistung+10)*2.4+NEB/(10^4*0.7)</f>
        <v>#VALUE!</v>
      </c>
    </row>
    <row r="41" spans="2:5">
      <c r="B41" s="3" t="s">
        <v>555</v>
      </c>
      <c r="C41" s="331" t="s">
        <v>573</v>
      </c>
      <c r="D41" s="331" t="s">
        <v>782</v>
      </c>
      <c r="E41" s="3" t="e" cm="1">
        <f t="array" ref="E41">(0.1*Wärmeerzeugerleistung+10)*2.8+NEB/(10^4*0.7)</f>
        <v>#VALUE!</v>
      </c>
    </row>
    <row r="42" spans="2:5">
      <c r="B42" s="3" t="s">
        <v>556</v>
      </c>
      <c r="C42" s="331" t="s">
        <v>574</v>
      </c>
      <c r="D42" s="331" t="s">
        <v>782</v>
      </c>
      <c r="E42" s="3" t="e" cm="1">
        <f t="array" ref="E42">(0.0667*Wärmeerzeugerleistung+13.333)*2.8+NEB/(10^4*0.7)</f>
        <v>#VALUE!</v>
      </c>
    </row>
    <row r="43" spans="2:5">
      <c r="B43" s="3" t="s">
        <v>557</v>
      </c>
      <c r="C43" s="331" t="s">
        <v>575</v>
      </c>
      <c r="D43" s="331" t="s">
        <v>782</v>
      </c>
      <c r="E43" s="3" t="e" cm="1">
        <f t="array" ref="E43">(0.06*Wärmeerzeugerleistung+15)*2.8+NEB/(10^4*0.7)</f>
        <v>#VALUE!</v>
      </c>
    </row>
    <row r="44" spans="2:5">
      <c r="B44" s="3" t="s">
        <v>558</v>
      </c>
      <c r="C44" s="331" t="s">
        <v>576</v>
      </c>
      <c r="D44" s="331" t="s">
        <v>782</v>
      </c>
      <c r="E44" s="3" t="e" cm="1">
        <f t="array" ref="E44">(0.06*Wärmeerzeugerleistung+15)*3+NEB/(10^4*0.7)</f>
        <v>#VALUE!</v>
      </c>
    </row>
    <row r="47" spans="2:5">
      <c r="B47" s="24" t="s">
        <v>44</v>
      </c>
      <c r="C47" s="3"/>
      <c r="D47" s="3"/>
    </row>
    <row r="48" spans="2:5">
      <c r="B48" s="3" t="s">
        <v>549</v>
      </c>
      <c r="C48" s="3" t="s">
        <v>172</v>
      </c>
      <c r="D48" s="3" t="s">
        <v>550</v>
      </c>
    </row>
    <row r="49" spans="2:4">
      <c r="B49" s="3" t="s">
        <v>551</v>
      </c>
      <c r="C49" s="331" t="s">
        <v>570</v>
      </c>
      <c r="D49" s="3">
        <v>24</v>
      </c>
    </row>
    <row r="50" spans="2:4">
      <c r="B50" s="3" t="s">
        <v>553</v>
      </c>
      <c r="C50" s="331" t="s">
        <v>571</v>
      </c>
      <c r="D50" s="3">
        <f>(0.2*Wärmeerzeugerleistung+5)*2.4</f>
        <v>12</v>
      </c>
    </row>
    <row r="51" spans="2:4">
      <c r="B51" s="3" t="s">
        <v>554</v>
      </c>
      <c r="C51" s="331" t="s">
        <v>572</v>
      </c>
      <c r="D51" s="3">
        <f>(0.1*Wärmeerzeugerleistung+10)*2.4</f>
        <v>24</v>
      </c>
    </row>
    <row r="52" spans="2:4">
      <c r="B52" s="3" t="s">
        <v>555</v>
      </c>
      <c r="C52" s="331" t="s">
        <v>573</v>
      </c>
      <c r="D52" s="3">
        <f>(0.1*Wärmeerzeugerleistung+10)*2.8</f>
        <v>28</v>
      </c>
    </row>
    <row r="53" spans="2:4">
      <c r="B53" s="3" t="s">
        <v>556</v>
      </c>
      <c r="C53" s="331" t="s">
        <v>574</v>
      </c>
      <c r="D53" s="3">
        <f>(0.0667*Wärmeerzeugerleistung+13.333)*2.8</f>
        <v>37.3324</v>
      </c>
    </row>
    <row r="54" spans="2:4">
      <c r="B54" s="3" t="s">
        <v>557</v>
      </c>
      <c r="C54" s="331" t="s">
        <v>575</v>
      </c>
      <c r="D54" s="3">
        <f>(0.06*Wärmeerzeugerleistung+15)*2.8</f>
        <v>42</v>
      </c>
    </row>
    <row r="55" spans="2:4">
      <c r="B55" s="3" t="s">
        <v>558</v>
      </c>
      <c r="C55" s="331" t="s">
        <v>576</v>
      </c>
      <c r="D55" s="3">
        <f>(0.06*Wärmeerzeugerleistung+15)*3</f>
        <v>45</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dimension ref="A1:AL76"/>
  <sheetViews>
    <sheetView workbookViewId="0">
      <selection activeCell="C8" sqref="C8"/>
    </sheetView>
  </sheetViews>
  <sheetFormatPr baseColWidth="10" defaultColWidth="11.42578125" defaultRowHeight="15"/>
  <cols>
    <col min="1" max="1" width="3.85546875" style="41" bestFit="1" customWidth="1"/>
    <col min="2" max="2" width="20.5703125" style="41" customWidth="1"/>
    <col min="3" max="3" width="11.42578125" style="41"/>
    <col min="4" max="4" width="38.28515625" style="41" bestFit="1" customWidth="1"/>
    <col min="5" max="5" width="20.42578125" style="41" bestFit="1" customWidth="1"/>
    <col min="6" max="16384" width="11.42578125" style="41"/>
  </cols>
  <sheetData>
    <row r="1" spans="1:38" s="32" customFormat="1">
      <c r="A1" s="32">
        <v>7.2</v>
      </c>
      <c r="B1" s="32" t="s">
        <v>185</v>
      </c>
    </row>
    <row r="3" spans="1:38">
      <c r="B3" s="65" t="s">
        <v>186</v>
      </c>
      <c r="C3" s="66">
        <f>INDEX(B5:B39,(MATCH(TRUE,INDEX(ISNUMBER(B5:B39),0),0)))</f>
        <v>1.2500000000000001E-2</v>
      </c>
    </row>
    <row r="5" spans="1:38" s="32" customFormat="1" ht="45">
      <c r="B5" s="177" t="s">
        <v>305</v>
      </c>
      <c r="C5" s="59" t="s">
        <v>182</v>
      </c>
      <c r="D5" s="60" t="s">
        <v>184</v>
      </c>
      <c r="E5" s="60" t="s">
        <v>183</v>
      </c>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row>
    <row r="6" spans="1:38" ht="15" customHeight="1">
      <c r="B6" s="167"/>
      <c r="C6" s="168"/>
      <c r="D6" s="167"/>
      <c r="E6" s="61">
        <v>46022</v>
      </c>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row>
    <row r="7" spans="1:38" ht="15" customHeight="1">
      <c r="B7" s="167">
        <v>1.2500000000000001E-2</v>
      </c>
      <c r="C7" s="168">
        <v>45993</v>
      </c>
      <c r="D7" s="167">
        <v>1.3299999999999999E-2</v>
      </c>
      <c r="E7" s="61">
        <v>45930</v>
      </c>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row>
    <row r="8" spans="1:38" ht="15" customHeight="1">
      <c r="B8" s="167">
        <v>1.2500000000000001E-2</v>
      </c>
      <c r="C8" s="168">
        <v>45903</v>
      </c>
      <c r="D8" s="167">
        <v>1.37E-2</v>
      </c>
      <c r="E8" s="61">
        <v>45838</v>
      </c>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row>
    <row r="9" spans="1:38" ht="15" customHeight="1">
      <c r="B9" s="167">
        <v>1.4999999999999999E-2</v>
      </c>
      <c r="C9" s="168">
        <v>45811</v>
      </c>
      <c r="D9" s="167">
        <v>1.44E-2</v>
      </c>
      <c r="E9" s="61">
        <v>45747</v>
      </c>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row>
    <row r="10" spans="1:38" ht="15" customHeight="1">
      <c r="B10" s="167">
        <v>1.4999999999999999E-2</v>
      </c>
      <c r="C10" s="168">
        <v>45720</v>
      </c>
      <c r="D10" s="167">
        <v>1.5299999999999999E-2</v>
      </c>
      <c r="E10" s="61">
        <v>45657</v>
      </c>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row>
    <row r="11" spans="1:38" ht="15" customHeight="1">
      <c r="B11" s="167">
        <v>1.7500000000000002E-2</v>
      </c>
      <c r="C11" s="168">
        <v>45629</v>
      </c>
      <c r="D11" s="167">
        <v>1.6299999999999999E-2</v>
      </c>
      <c r="E11" s="61">
        <v>45565</v>
      </c>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row>
    <row r="12" spans="1:38" ht="15" customHeight="1">
      <c r="B12" s="167">
        <v>1.7500000000000002E-2</v>
      </c>
      <c r="C12" s="168">
        <v>45538</v>
      </c>
      <c r="D12" s="167">
        <v>1.67E-2</v>
      </c>
      <c r="E12" s="61">
        <v>45473</v>
      </c>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row>
    <row r="13" spans="1:38" ht="15" customHeight="1">
      <c r="B13" s="167">
        <v>1.7500000000000002E-2</v>
      </c>
      <c r="C13" s="168">
        <v>45447</v>
      </c>
      <c r="D13" s="167">
        <v>1.72E-2</v>
      </c>
      <c r="E13" s="61">
        <v>45382</v>
      </c>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row>
    <row r="14" spans="1:38" ht="15" customHeight="1">
      <c r="B14" s="167">
        <v>1.7500000000000002E-2</v>
      </c>
      <c r="C14" s="168">
        <v>45353</v>
      </c>
      <c r="D14" s="167">
        <v>1.72E-2</v>
      </c>
      <c r="E14" s="61">
        <v>45291</v>
      </c>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row>
    <row r="15" spans="1:38" ht="15" customHeight="1">
      <c r="B15" s="167">
        <v>1.7500000000000002E-2</v>
      </c>
      <c r="C15" s="168">
        <v>45262</v>
      </c>
      <c r="D15" s="167">
        <v>1.6899999999999998E-2</v>
      </c>
      <c r="E15" s="61">
        <v>45199</v>
      </c>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row>
    <row r="16" spans="1:38" ht="15" customHeight="1">
      <c r="B16" s="167">
        <v>1.4999999999999999E-2</v>
      </c>
      <c r="C16" s="168">
        <v>45171</v>
      </c>
      <c r="D16" s="167">
        <v>1.5900000000000001E-2</v>
      </c>
      <c r="E16" s="61">
        <v>45107</v>
      </c>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row>
    <row r="17" spans="2:38" ht="15" customHeight="1">
      <c r="B17" s="167">
        <v>1.4999999999999999E-2</v>
      </c>
      <c r="C17" s="168">
        <v>45079</v>
      </c>
      <c r="D17" s="167">
        <v>1.44E-2</v>
      </c>
      <c r="E17" s="61">
        <v>45016</v>
      </c>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row>
    <row r="18" spans="2:38" ht="15" customHeight="1">
      <c r="B18" s="167">
        <v>1.2500000000000001E-2</v>
      </c>
      <c r="C18" s="168">
        <v>44987</v>
      </c>
      <c r="D18" s="167">
        <v>1.3299999999999999E-2</v>
      </c>
      <c r="E18" s="61">
        <v>44926</v>
      </c>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row>
    <row r="19" spans="2:38" ht="15" customHeight="1">
      <c r="B19" s="167">
        <v>1.2500000000000001E-2</v>
      </c>
      <c r="C19" s="168">
        <v>44897</v>
      </c>
      <c r="D19" s="167">
        <v>1.18E-2</v>
      </c>
      <c r="E19" s="61">
        <v>44834</v>
      </c>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row>
    <row r="20" spans="2:38" ht="15" customHeight="1">
      <c r="B20" s="167">
        <v>1.2500000000000001E-2</v>
      </c>
      <c r="C20" s="168">
        <v>44806</v>
      </c>
      <c r="D20" s="167">
        <v>1.17E-2</v>
      </c>
      <c r="E20" s="61">
        <v>44742</v>
      </c>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row>
    <row r="21" spans="2:38" ht="15" customHeight="1">
      <c r="B21" s="167">
        <v>1.2500000000000001E-2</v>
      </c>
      <c r="C21" s="168">
        <v>44714</v>
      </c>
      <c r="D21" s="167">
        <v>1.18E-2</v>
      </c>
      <c r="E21" s="61">
        <v>44651</v>
      </c>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row>
    <row r="22" spans="2:38" ht="15" customHeight="1">
      <c r="B22" s="167">
        <v>1.2500000000000001E-2</v>
      </c>
      <c r="C22" s="168">
        <v>44622</v>
      </c>
      <c r="D22" s="167">
        <v>1.1900000000000001E-2</v>
      </c>
      <c r="E22" s="61">
        <v>44561</v>
      </c>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row>
    <row r="23" spans="2:38" ht="15" customHeight="1">
      <c r="B23" s="167">
        <v>1.2500000000000001E-2</v>
      </c>
      <c r="C23" s="168">
        <v>44897</v>
      </c>
      <c r="D23" s="167">
        <v>1.21E-2</v>
      </c>
      <c r="E23" s="61">
        <v>44469</v>
      </c>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row>
    <row r="24" spans="2:38" ht="15" customHeight="1">
      <c r="B24" s="167">
        <v>1.2500000000000001E-2</v>
      </c>
      <c r="C24" s="168">
        <v>44441</v>
      </c>
      <c r="D24" s="167">
        <v>1.23E-2</v>
      </c>
      <c r="E24" s="61">
        <v>44377</v>
      </c>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row>
    <row r="25" spans="2:38" ht="15" customHeight="1">
      <c r="B25" s="167">
        <v>1.2500000000000001E-2</v>
      </c>
      <c r="C25" s="168">
        <v>44349</v>
      </c>
      <c r="D25" s="167">
        <v>1.2500000000000001E-2</v>
      </c>
      <c r="E25" s="61">
        <v>44286</v>
      </c>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row>
    <row r="26" spans="2:38" ht="15" customHeight="1">
      <c r="B26" s="167">
        <v>1.2500000000000001E-2</v>
      </c>
      <c r="C26" s="168">
        <v>44257</v>
      </c>
      <c r="D26" s="167">
        <v>1.2800000000000001E-2</v>
      </c>
      <c r="E26" s="61">
        <v>44196</v>
      </c>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row>
    <row r="27" spans="2:38" ht="15" customHeight="1">
      <c r="B27" s="167">
        <v>1.2500000000000001E-2</v>
      </c>
      <c r="C27" s="168">
        <v>44167</v>
      </c>
      <c r="D27" s="167">
        <v>1.2999999999999999E-2</v>
      </c>
      <c r="E27" s="61">
        <v>44104</v>
      </c>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row>
    <row r="28" spans="2:38" ht="15" customHeight="1">
      <c r="B28" s="121">
        <v>1.2500000000000001E-2</v>
      </c>
      <c r="C28" s="122">
        <v>44076</v>
      </c>
      <c r="D28" s="121">
        <v>1.3299999999999999E-2</v>
      </c>
      <c r="E28" s="61">
        <v>44012</v>
      </c>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row>
    <row r="29" spans="2:38">
      <c r="B29" s="62">
        <v>1.2500000000000001E-2</v>
      </c>
      <c r="C29" s="63">
        <v>43985</v>
      </c>
      <c r="D29" s="64">
        <v>1.35E-2</v>
      </c>
      <c r="E29" s="63">
        <v>43921</v>
      </c>
    </row>
    <row r="30" spans="2:38">
      <c r="B30" s="62">
        <v>1.2500000000000001E-2</v>
      </c>
      <c r="C30" s="63">
        <v>43893</v>
      </c>
      <c r="D30" s="64">
        <v>1.37E-2</v>
      </c>
      <c r="E30" s="63">
        <v>43830</v>
      </c>
    </row>
    <row r="31" spans="2:38">
      <c r="B31" s="62">
        <v>1.4999999999999999E-2</v>
      </c>
      <c r="C31" s="63">
        <v>43802</v>
      </c>
      <c r="D31" s="64">
        <v>1.3899999999999999E-2</v>
      </c>
      <c r="E31" s="63">
        <v>43738</v>
      </c>
    </row>
    <row r="32" spans="2:38">
      <c r="B32" s="62">
        <v>1.4999999999999999E-2</v>
      </c>
      <c r="C32" s="63">
        <v>43711</v>
      </c>
      <c r="D32" s="64">
        <v>1.41E-2</v>
      </c>
      <c r="E32" s="63">
        <v>43646</v>
      </c>
    </row>
    <row r="33" spans="2:5">
      <c r="B33" s="62">
        <v>1.4999999999999999E-2</v>
      </c>
      <c r="C33" s="63">
        <v>43620</v>
      </c>
      <c r="D33" s="64">
        <v>1.43E-2</v>
      </c>
      <c r="E33" s="63">
        <v>43555</v>
      </c>
    </row>
    <row r="34" spans="2:5">
      <c r="B34" s="62">
        <v>1.4999999999999999E-2</v>
      </c>
      <c r="C34" s="63">
        <v>43526</v>
      </c>
      <c r="D34" s="64">
        <v>1.4500000000000001E-2</v>
      </c>
      <c r="E34" s="63">
        <v>43465</v>
      </c>
    </row>
    <row r="35" spans="2:5">
      <c r="B35" s="62">
        <v>1.4999999999999999E-2</v>
      </c>
      <c r="C35" s="63">
        <v>43438</v>
      </c>
      <c r="D35" s="64">
        <v>1.47E-2</v>
      </c>
      <c r="E35" s="63">
        <v>43373</v>
      </c>
    </row>
    <row r="36" spans="2:5">
      <c r="B36" s="62">
        <v>1.4999999999999999E-2</v>
      </c>
      <c r="C36" s="63">
        <v>43347</v>
      </c>
      <c r="D36" s="64">
        <v>1.49E-2</v>
      </c>
      <c r="E36" s="63">
        <v>43281</v>
      </c>
    </row>
    <row r="37" spans="2:5">
      <c r="B37" s="62">
        <v>1.4999999999999999E-2</v>
      </c>
      <c r="C37" s="63">
        <v>43253</v>
      </c>
      <c r="D37" s="64">
        <v>1.5100000000000001E-2</v>
      </c>
      <c r="E37" s="63">
        <v>43190</v>
      </c>
    </row>
    <row r="38" spans="2:5">
      <c r="B38" s="62">
        <v>1.4999999999999999E-2</v>
      </c>
      <c r="C38" s="63">
        <v>43161</v>
      </c>
      <c r="D38" s="64">
        <v>1.5299999999999999E-2</v>
      </c>
      <c r="E38" s="63">
        <v>43100</v>
      </c>
    </row>
    <row r="39" spans="2:5">
      <c r="B39" s="62">
        <v>1.4999999999999999E-2</v>
      </c>
      <c r="C39" s="63">
        <v>43071</v>
      </c>
      <c r="D39" s="64">
        <v>1.5599999999999999E-2</v>
      </c>
      <c r="E39" s="63">
        <v>43008</v>
      </c>
    </row>
    <row r="40" spans="2:5">
      <c r="B40" s="62">
        <v>1.4999999999999999E-2</v>
      </c>
      <c r="C40" s="63">
        <v>42980</v>
      </c>
      <c r="D40" s="64">
        <v>1.5800000000000002E-2</v>
      </c>
      <c r="E40" s="63">
        <v>42916</v>
      </c>
    </row>
    <row r="41" spans="2:5">
      <c r="B41" s="62">
        <v>1.4999999999999999E-2</v>
      </c>
      <c r="C41" s="63">
        <v>42888</v>
      </c>
      <c r="D41" s="64">
        <v>1.61E-2</v>
      </c>
      <c r="E41" s="63">
        <v>42825</v>
      </c>
    </row>
    <row r="42" spans="2:5">
      <c r="B42" s="62">
        <v>1.7500000000000002E-2</v>
      </c>
      <c r="C42" s="63">
        <v>42796</v>
      </c>
      <c r="D42" s="64">
        <v>1.6400000000000001E-2</v>
      </c>
      <c r="E42" s="63">
        <v>42735</v>
      </c>
    </row>
    <row r="43" spans="2:5">
      <c r="B43" s="62">
        <v>1.7500000000000002E-2</v>
      </c>
      <c r="C43" s="63">
        <v>42706</v>
      </c>
      <c r="D43" s="64">
        <v>1.67E-2</v>
      </c>
      <c r="E43" s="63">
        <v>42643</v>
      </c>
    </row>
    <row r="44" spans="2:5">
      <c r="B44" s="62">
        <v>1.7500000000000002E-2</v>
      </c>
      <c r="C44" s="63">
        <v>42615</v>
      </c>
      <c r="D44" s="64">
        <v>1.7000000000000001E-2</v>
      </c>
      <c r="E44" s="63">
        <v>42551</v>
      </c>
    </row>
    <row r="45" spans="2:5">
      <c r="B45" s="62">
        <v>1.7500000000000002E-2</v>
      </c>
      <c r="C45" s="63">
        <v>42523</v>
      </c>
      <c r="D45" s="64">
        <v>1.7299999999999999E-2</v>
      </c>
      <c r="E45" s="63">
        <v>42460</v>
      </c>
    </row>
    <row r="46" spans="2:5">
      <c r="B46" s="62">
        <v>1.7500000000000002E-2</v>
      </c>
      <c r="C46" s="63">
        <v>42431</v>
      </c>
      <c r="D46" s="64">
        <v>1.7600000000000001E-2</v>
      </c>
      <c r="E46" s="63">
        <v>42369</v>
      </c>
    </row>
    <row r="47" spans="2:5">
      <c r="B47" s="62">
        <v>1.7500000000000002E-2</v>
      </c>
      <c r="C47" s="63">
        <v>42340</v>
      </c>
      <c r="D47" s="64">
        <v>1.7999999999999999E-2</v>
      </c>
      <c r="E47" s="63">
        <v>42277</v>
      </c>
    </row>
    <row r="48" spans="2:5">
      <c r="B48" s="62">
        <v>1.7500000000000002E-2</v>
      </c>
      <c r="C48" s="63">
        <v>42249</v>
      </c>
      <c r="D48" s="64">
        <v>1.83E-2</v>
      </c>
      <c r="E48" s="63">
        <v>42185</v>
      </c>
    </row>
    <row r="49" spans="2:5">
      <c r="B49" s="62">
        <v>1.7500000000000002E-2</v>
      </c>
      <c r="C49" s="63">
        <v>42157</v>
      </c>
      <c r="D49" s="64">
        <v>1.8599999999999998E-2</v>
      </c>
      <c r="E49" s="63">
        <v>42094</v>
      </c>
    </row>
    <row r="50" spans="2:5">
      <c r="B50" s="62">
        <v>0.02</v>
      </c>
      <c r="C50" s="63">
        <v>42066</v>
      </c>
      <c r="D50" s="64">
        <v>1.89E-2</v>
      </c>
      <c r="E50" s="63">
        <v>42004</v>
      </c>
    </row>
    <row r="51" spans="2:5">
      <c r="B51" s="62">
        <v>0.02</v>
      </c>
      <c r="C51" s="63">
        <v>41975</v>
      </c>
      <c r="D51" s="64">
        <v>1.9199999999999998E-2</v>
      </c>
      <c r="E51" s="63">
        <v>41912</v>
      </c>
    </row>
    <row r="52" spans="2:5">
      <c r="B52" s="62">
        <v>0.02</v>
      </c>
      <c r="C52" s="63">
        <v>41884</v>
      </c>
      <c r="D52" s="64">
        <v>1.95E-2</v>
      </c>
      <c r="E52" s="63">
        <v>41820</v>
      </c>
    </row>
    <row r="53" spans="2:5">
      <c r="B53" s="62">
        <v>0.02</v>
      </c>
      <c r="C53" s="63">
        <v>41793</v>
      </c>
      <c r="D53" s="64">
        <v>1.9800000000000002E-2</v>
      </c>
      <c r="E53" s="63">
        <v>41729</v>
      </c>
    </row>
    <row r="54" spans="2:5">
      <c r="B54" s="62">
        <v>0.02</v>
      </c>
      <c r="C54" s="63">
        <v>41702</v>
      </c>
      <c r="D54" s="64">
        <v>2.0199999999999999E-2</v>
      </c>
      <c r="E54" s="63">
        <v>41639</v>
      </c>
    </row>
    <row r="55" spans="2:5">
      <c r="B55" s="62">
        <v>0.02</v>
      </c>
      <c r="C55" s="63">
        <v>41611</v>
      </c>
      <c r="D55" s="64">
        <v>2.06E-2</v>
      </c>
      <c r="E55" s="63">
        <v>41547</v>
      </c>
    </row>
    <row r="56" spans="2:5">
      <c r="B56" s="62">
        <v>0.02</v>
      </c>
      <c r="C56" s="63">
        <v>41520</v>
      </c>
      <c r="D56" s="64">
        <v>2.0899999999999998E-2</v>
      </c>
      <c r="E56" s="63">
        <v>41455</v>
      </c>
    </row>
    <row r="57" spans="2:5">
      <c r="B57" s="62">
        <v>2.2499999999999999E-2</v>
      </c>
      <c r="C57" s="63">
        <v>41429</v>
      </c>
      <c r="D57" s="64">
        <v>2.1399999999999999E-2</v>
      </c>
      <c r="E57" s="63">
        <v>41364</v>
      </c>
    </row>
    <row r="58" spans="2:5">
      <c r="B58" s="62">
        <v>2.2499999999999999E-2</v>
      </c>
      <c r="C58" s="63">
        <v>41335</v>
      </c>
      <c r="D58" s="64">
        <v>2.1899999999999999E-2</v>
      </c>
      <c r="E58" s="63">
        <v>41274</v>
      </c>
    </row>
    <row r="59" spans="2:5">
      <c r="B59" s="62">
        <v>2.2499999999999999E-2</v>
      </c>
      <c r="C59" s="63">
        <v>41247</v>
      </c>
      <c r="D59" s="64">
        <v>2.2499999999999999E-2</v>
      </c>
      <c r="E59" s="63">
        <v>41182</v>
      </c>
    </row>
    <row r="60" spans="2:5">
      <c r="B60" s="62">
        <v>2.2499999999999999E-2</v>
      </c>
      <c r="C60" s="63">
        <v>41156</v>
      </c>
      <c r="D60" s="64">
        <v>2.3E-2</v>
      </c>
      <c r="E60" s="63">
        <v>41090</v>
      </c>
    </row>
    <row r="61" spans="2:5">
      <c r="B61" s="62">
        <v>2.2499999999999999E-2</v>
      </c>
      <c r="C61" s="63">
        <v>41062</v>
      </c>
      <c r="D61" s="64">
        <v>2.35E-2</v>
      </c>
      <c r="E61" s="63">
        <v>40999</v>
      </c>
    </row>
    <row r="62" spans="2:5">
      <c r="B62" s="62">
        <v>2.5000000000000001E-2</v>
      </c>
      <c r="C62" s="63">
        <v>40970</v>
      </c>
      <c r="D62" s="64">
        <v>2.3900000000000001E-2</v>
      </c>
      <c r="E62" s="63">
        <v>40908</v>
      </c>
    </row>
    <row r="63" spans="2:5">
      <c r="B63" s="62">
        <v>2.5000000000000001E-2</v>
      </c>
      <c r="C63" s="63">
        <v>40879</v>
      </c>
      <c r="D63" s="64">
        <v>2.4500000000000001E-2</v>
      </c>
      <c r="E63" s="63">
        <v>40816</v>
      </c>
    </row>
    <row r="64" spans="2:5">
      <c r="B64" s="62">
        <v>2.75E-2</v>
      </c>
      <c r="C64" s="63">
        <v>40788</v>
      </c>
      <c r="D64" s="64">
        <v>2.5100000000000001E-2</v>
      </c>
      <c r="E64" s="63">
        <v>40724</v>
      </c>
    </row>
    <row r="65" spans="2:5">
      <c r="B65" s="62">
        <v>2.75E-2</v>
      </c>
      <c r="C65" s="63">
        <v>40696</v>
      </c>
      <c r="D65" s="64">
        <v>2.5399999999999999E-2</v>
      </c>
      <c r="E65" s="63">
        <v>40633</v>
      </c>
    </row>
    <row r="66" spans="2:5">
      <c r="B66" s="62">
        <v>2.75E-2</v>
      </c>
      <c r="C66" s="63">
        <v>40604</v>
      </c>
      <c r="D66" s="64">
        <v>2.5899999999999999E-2</v>
      </c>
      <c r="E66" s="63">
        <v>40543</v>
      </c>
    </row>
    <row r="67" spans="2:5">
      <c r="B67" s="62">
        <v>2.75E-2</v>
      </c>
      <c r="C67" s="63">
        <v>40514</v>
      </c>
      <c r="D67" s="64">
        <v>2.6499999999999999E-2</v>
      </c>
      <c r="E67" s="63">
        <v>40451</v>
      </c>
    </row>
    <row r="68" spans="2:5">
      <c r="B68" s="62">
        <v>0.03</v>
      </c>
      <c r="C68" s="63">
        <v>40423</v>
      </c>
      <c r="D68" s="64">
        <v>2.69E-2</v>
      </c>
      <c r="E68" s="63">
        <v>40359</v>
      </c>
    </row>
    <row r="69" spans="2:5">
      <c r="B69" s="62">
        <v>0.03</v>
      </c>
      <c r="C69" s="63">
        <v>40331</v>
      </c>
      <c r="D69" s="64">
        <v>2.75E-2</v>
      </c>
      <c r="E69" s="63">
        <v>40268</v>
      </c>
    </row>
    <row r="70" spans="2:5">
      <c r="B70" s="62">
        <v>0.03</v>
      </c>
      <c r="C70" s="63">
        <v>40239</v>
      </c>
      <c r="D70" s="64">
        <v>2.8000000000000001E-2</v>
      </c>
      <c r="E70" s="63">
        <v>40178</v>
      </c>
    </row>
    <row r="71" spans="2:5">
      <c r="B71" s="62">
        <v>0.03</v>
      </c>
      <c r="C71" s="63">
        <v>40149</v>
      </c>
      <c r="D71" s="64">
        <v>2.86E-2</v>
      </c>
      <c r="E71" s="63">
        <v>40086</v>
      </c>
    </row>
    <row r="72" spans="2:5">
      <c r="B72" s="62">
        <v>0.03</v>
      </c>
      <c r="C72" s="63">
        <v>40058</v>
      </c>
      <c r="D72" s="64">
        <v>2.93E-2</v>
      </c>
      <c r="E72" s="63">
        <v>39994</v>
      </c>
    </row>
    <row r="73" spans="2:5">
      <c r="B73" s="62">
        <v>3.2500000000000001E-2</v>
      </c>
      <c r="C73" s="63">
        <v>39967</v>
      </c>
      <c r="D73" s="64">
        <v>3.0700000000000002E-2</v>
      </c>
      <c r="E73" s="63">
        <v>39903</v>
      </c>
    </row>
    <row r="74" spans="2:5">
      <c r="B74" s="62">
        <v>3.5000000000000003E-2</v>
      </c>
      <c r="C74" s="63">
        <v>39875</v>
      </c>
      <c r="D74" s="64">
        <v>3.3300000000000003E-2</v>
      </c>
      <c r="E74" s="63">
        <v>39813</v>
      </c>
    </row>
    <row r="75" spans="2:5">
      <c r="B75" s="62">
        <v>3.5000000000000003E-2</v>
      </c>
      <c r="C75" s="63">
        <v>39784</v>
      </c>
      <c r="D75" s="64">
        <v>3.4500000000000003E-2</v>
      </c>
      <c r="E75" s="63">
        <v>39721</v>
      </c>
    </row>
    <row r="76" spans="2:5">
      <c r="B76" s="62">
        <v>3.5000000000000003E-2</v>
      </c>
      <c r="C76" s="63">
        <v>39701</v>
      </c>
      <c r="D76" s="64">
        <v>3.4299999999999997E-2</v>
      </c>
      <c r="E76" s="63">
        <v>39629</v>
      </c>
    </row>
  </sheetData>
  <conditionalFormatting sqref="B6:D28">
    <cfRule type="cellIs" dxfId="0" priority="1" operator="equal">
      <formula>0</formula>
    </cfRule>
  </conditionalFormatting>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1"/>
  <sheetViews>
    <sheetView workbookViewId="0">
      <selection activeCell="E30" sqref="E30"/>
    </sheetView>
  </sheetViews>
  <sheetFormatPr baseColWidth="10" defaultRowHeight="15"/>
  <cols>
    <col min="4" max="4" width="57.7109375" customWidth="1"/>
  </cols>
  <sheetData>
    <row r="1" spans="1:5" ht="18.75">
      <c r="A1" s="192" t="s">
        <v>315</v>
      </c>
    </row>
    <row r="2" spans="1:5">
      <c r="D2" s="193" t="s">
        <v>324</v>
      </c>
      <c r="E2" s="194" t="str">
        <f>VLOOKUP(C3,A4:E32,2)</f>
        <v>SLU_1.6</v>
      </c>
    </row>
    <row r="3" spans="1:5">
      <c r="A3" t="s">
        <v>325</v>
      </c>
      <c r="C3" s="188">
        <f>MAX(A5:A32)</f>
        <v>46196</v>
      </c>
      <c r="D3" s="193" t="s">
        <v>323</v>
      </c>
      <c r="E3" s="195">
        <f>VLOOKUP(C3,A4:E32,5)</f>
        <v>46433</v>
      </c>
    </row>
    <row r="4" spans="1:5" ht="15.75" thickBot="1"/>
    <row r="5" spans="1:5" ht="15.75" thickBot="1">
      <c r="A5" s="189" t="s">
        <v>316</v>
      </c>
      <c r="B5" s="190" t="s">
        <v>318</v>
      </c>
      <c r="C5" s="190" t="s">
        <v>317</v>
      </c>
      <c r="D5" s="190" t="s">
        <v>320</v>
      </c>
      <c r="E5" s="191" t="s">
        <v>322</v>
      </c>
    </row>
    <row r="6" spans="1:5">
      <c r="A6" s="203">
        <v>43799</v>
      </c>
      <c r="B6" s="204" t="s">
        <v>328</v>
      </c>
      <c r="C6" s="204" t="s">
        <v>321</v>
      </c>
      <c r="D6" s="204" t="s">
        <v>618</v>
      </c>
      <c r="E6" s="205">
        <v>43830</v>
      </c>
    </row>
    <row r="7" spans="1:5">
      <c r="A7" s="196">
        <v>44104</v>
      </c>
      <c r="B7" s="197" t="s">
        <v>327</v>
      </c>
      <c r="C7" s="197" t="s">
        <v>319</v>
      </c>
      <c r="D7" s="197" t="s">
        <v>329</v>
      </c>
      <c r="E7" s="198">
        <v>44196</v>
      </c>
    </row>
    <row r="8" spans="1:5">
      <c r="A8" s="196">
        <v>44163</v>
      </c>
      <c r="B8" s="197" t="s">
        <v>326</v>
      </c>
      <c r="C8" s="197" t="s">
        <v>321</v>
      </c>
      <c r="D8" s="197" t="s">
        <v>330</v>
      </c>
      <c r="E8" s="198">
        <v>44196</v>
      </c>
    </row>
    <row r="9" spans="1:5">
      <c r="A9" s="196">
        <v>44421</v>
      </c>
      <c r="B9" s="197" t="s">
        <v>332</v>
      </c>
      <c r="C9" s="197" t="s">
        <v>321</v>
      </c>
      <c r="D9" s="197" t="s">
        <v>336</v>
      </c>
      <c r="E9" s="198">
        <v>44449</v>
      </c>
    </row>
    <row r="10" spans="1:5">
      <c r="A10" s="196">
        <v>44422</v>
      </c>
      <c r="B10" s="197" t="s">
        <v>339</v>
      </c>
      <c r="C10" s="197" t="s">
        <v>321</v>
      </c>
      <c r="D10" s="197" t="s">
        <v>338</v>
      </c>
      <c r="E10" s="198">
        <v>44449</v>
      </c>
    </row>
    <row r="11" spans="1:5">
      <c r="A11" s="196">
        <v>44470</v>
      </c>
      <c r="B11" s="197" t="s">
        <v>340</v>
      </c>
      <c r="C11" s="197" t="s">
        <v>321</v>
      </c>
      <c r="D11" s="197" t="s">
        <v>341</v>
      </c>
      <c r="E11" s="198">
        <v>44470</v>
      </c>
    </row>
    <row r="12" spans="1:5">
      <c r="A12" s="196">
        <v>44532</v>
      </c>
      <c r="B12" s="197" t="s">
        <v>342</v>
      </c>
      <c r="C12" s="197" t="s">
        <v>321</v>
      </c>
      <c r="D12" s="197" t="s">
        <v>343</v>
      </c>
      <c r="E12" s="198">
        <v>44561</v>
      </c>
    </row>
    <row r="13" spans="1:5">
      <c r="A13" s="196">
        <v>44748</v>
      </c>
      <c r="B13" s="197" t="s">
        <v>358</v>
      </c>
      <c r="C13" s="197" t="s">
        <v>359</v>
      </c>
      <c r="D13" s="197" t="s">
        <v>360</v>
      </c>
      <c r="E13" s="198">
        <v>44791</v>
      </c>
    </row>
    <row r="14" spans="1:5" ht="30">
      <c r="A14" s="196">
        <v>44791</v>
      </c>
      <c r="B14" s="197" t="s">
        <v>605</v>
      </c>
      <c r="C14" s="197" t="s">
        <v>359</v>
      </c>
      <c r="D14" s="197" t="s">
        <v>606</v>
      </c>
      <c r="E14" s="198">
        <v>44809</v>
      </c>
    </row>
    <row r="15" spans="1:5">
      <c r="A15" s="196">
        <v>44810</v>
      </c>
      <c r="B15" s="197" t="s">
        <v>615</v>
      </c>
      <c r="C15" s="197" t="s">
        <v>359</v>
      </c>
      <c r="D15" s="197" t="s">
        <v>616</v>
      </c>
      <c r="E15" s="198">
        <v>44854</v>
      </c>
    </row>
    <row r="16" spans="1:5">
      <c r="A16" s="196">
        <v>44859</v>
      </c>
      <c r="B16" s="197" t="s">
        <v>627</v>
      </c>
      <c r="C16" s="197" t="s">
        <v>359</v>
      </c>
      <c r="D16" s="197" t="s">
        <v>628</v>
      </c>
      <c r="E16" s="198">
        <v>44893</v>
      </c>
    </row>
    <row r="17" spans="1:5">
      <c r="A17" s="196">
        <v>44897</v>
      </c>
      <c r="B17" s="197" t="s">
        <v>685</v>
      </c>
      <c r="C17" s="197" t="s">
        <v>359</v>
      </c>
      <c r="D17" s="197" t="s">
        <v>686</v>
      </c>
      <c r="E17" s="198">
        <v>44926</v>
      </c>
    </row>
    <row r="18" spans="1:5">
      <c r="A18" s="196">
        <v>44915</v>
      </c>
      <c r="B18" s="197" t="s">
        <v>738</v>
      </c>
      <c r="C18" s="197" t="s">
        <v>359</v>
      </c>
      <c r="D18" s="197" t="s">
        <v>628</v>
      </c>
      <c r="E18" s="198">
        <v>44942</v>
      </c>
    </row>
    <row r="19" spans="1:5">
      <c r="A19" s="196">
        <v>44943</v>
      </c>
      <c r="B19" s="197" t="s">
        <v>741</v>
      </c>
      <c r="C19" s="197" t="s">
        <v>359</v>
      </c>
      <c r="D19" s="197" t="s">
        <v>742</v>
      </c>
      <c r="E19" s="198">
        <v>44976</v>
      </c>
    </row>
    <row r="20" spans="1:5">
      <c r="A20" s="196">
        <v>44977</v>
      </c>
      <c r="B20" s="197" t="s">
        <v>747</v>
      </c>
      <c r="C20" s="197" t="s">
        <v>359</v>
      </c>
      <c r="D20" s="197" t="s">
        <v>748</v>
      </c>
      <c r="E20" s="198">
        <v>45004</v>
      </c>
    </row>
    <row r="21" spans="1:5">
      <c r="A21" s="196">
        <v>45005</v>
      </c>
      <c r="B21" s="197" t="s">
        <v>747</v>
      </c>
      <c r="C21" s="197" t="s">
        <v>359</v>
      </c>
      <c r="D21" s="197" t="s">
        <v>749</v>
      </c>
      <c r="E21" s="198">
        <v>45033</v>
      </c>
    </row>
    <row r="22" spans="1:5">
      <c r="A22" s="196">
        <v>45034</v>
      </c>
      <c r="B22" s="197" t="s">
        <v>760</v>
      </c>
      <c r="C22" s="197" t="s">
        <v>359</v>
      </c>
      <c r="D22" s="197" t="s">
        <v>761</v>
      </c>
      <c r="E22" s="198">
        <v>45110</v>
      </c>
    </row>
    <row r="23" spans="1:5">
      <c r="A23" s="196">
        <v>45110</v>
      </c>
      <c r="B23" s="197" t="s">
        <v>762</v>
      </c>
      <c r="C23" s="197" t="s">
        <v>359</v>
      </c>
      <c r="D23" s="197" t="s">
        <v>763</v>
      </c>
      <c r="E23" s="198">
        <v>45322</v>
      </c>
    </row>
    <row r="24" spans="1:5">
      <c r="A24" s="196">
        <v>45327</v>
      </c>
      <c r="B24" s="197" t="s">
        <v>766</v>
      </c>
      <c r="C24" s="197" t="s">
        <v>359</v>
      </c>
      <c r="D24" s="197" t="s">
        <v>767</v>
      </c>
      <c r="E24" s="198">
        <v>45389</v>
      </c>
    </row>
    <row r="25" spans="1:5">
      <c r="A25" s="196">
        <v>45390</v>
      </c>
      <c r="B25" s="197" t="s">
        <v>774</v>
      </c>
      <c r="C25" s="197" t="s">
        <v>359</v>
      </c>
      <c r="D25" s="197" t="s">
        <v>775</v>
      </c>
      <c r="E25" s="198">
        <v>45573</v>
      </c>
    </row>
    <row r="26" spans="1:5" ht="45">
      <c r="A26" s="196">
        <v>45604</v>
      </c>
      <c r="B26" s="197" t="s">
        <v>787</v>
      </c>
      <c r="C26" s="197" t="s">
        <v>359</v>
      </c>
      <c r="D26" s="197" t="s">
        <v>788</v>
      </c>
      <c r="E26" s="198">
        <v>45703</v>
      </c>
    </row>
    <row r="27" spans="1:5" ht="60">
      <c r="A27" s="196">
        <v>45695</v>
      </c>
      <c r="B27" s="197" t="s">
        <v>795</v>
      </c>
      <c r="C27" s="197" t="s">
        <v>359</v>
      </c>
      <c r="D27" s="197" t="s">
        <v>796</v>
      </c>
      <c r="E27" s="198">
        <v>46068</v>
      </c>
    </row>
    <row r="28" spans="1:5" ht="60">
      <c r="A28" s="196">
        <v>46095</v>
      </c>
      <c r="B28" s="197" t="s">
        <v>800</v>
      </c>
      <c r="C28" s="197" t="s">
        <v>359</v>
      </c>
      <c r="D28" s="197" t="s">
        <v>796</v>
      </c>
      <c r="E28" s="198">
        <v>46195</v>
      </c>
    </row>
    <row r="29" spans="1:5">
      <c r="A29" s="196">
        <v>46196</v>
      </c>
      <c r="B29" s="197" t="s">
        <v>802</v>
      </c>
      <c r="C29" s="197" t="s">
        <v>359</v>
      </c>
      <c r="D29" s="197" t="s">
        <v>803</v>
      </c>
      <c r="E29" s="198">
        <v>46433</v>
      </c>
    </row>
    <row r="30" spans="1:5">
      <c r="A30" s="196"/>
      <c r="B30" s="197"/>
      <c r="C30" s="197"/>
      <c r="D30" s="197"/>
      <c r="E30" s="198"/>
    </row>
    <row r="31" spans="1:5" ht="15.75" thickBot="1">
      <c r="A31" s="206"/>
      <c r="B31" s="199"/>
      <c r="C31" s="199"/>
      <c r="D31" s="199"/>
      <c r="E31" s="207"/>
    </row>
  </sheetData>
  <pageMargins left="0.7" right="0.7" top="0.78740157499999996" bottom="0.78740157499999996" header="0.3" footer="0.3"/>
  <pageSetup paperSize="0" orientation="portrait" horizontalDpi="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
  <sheetViews>
    <sheetView zoomScaleNormal="100" workbookViewId="0">
      <selection activeCell="J8" sqref="J8"/>
    </sheetView>
  </sheetViews>
  <sheetFormatPr baseColWidth="10" defaultRowHeight="15"/>
  <cols>
    <col min="1" max="1" width="21.5703125" customWidth="1"/>
    <col min="2" max="2" width="4.85546875" customWidth="1"/>
    <col min="3" max="8" width="12.7109375" customWidth="1"/>
    <col min="10" max="10" width="42.5703125" customWidth="1"/>
    <col min="11" max="16" width="13" customWidth="1"/>
  </cols>
  <sheetData>
    <row r="1" spans="1:16" ht="21">
      <c r="A1" s="342" t="s">
        <v>596</v>
      </c>
      <c r="B1" s="342"/>
      <c r="C1" s="343" t="s">
        <v>597</v>
      </c>
      <c r="D1" s="343" t="s">
        <v>598</v>
      </c>
      <c r="E1" s="343" t="s">
        <v>599</v>
      </c>
      <c r="F1" s="343" t="s">
        <v>600</v>
      </c>
      <c r="G1" s="343" t="s">
        <v>601</v>
      </c>
      <c r="J1" s="342" t="s">
        <v>629</v>
      </c>
    </row>
    <row r="2" spans="1:16" ht="17.25" customHeight="1">
      <c r="A2" t="s">
        <v>602</v>
      </c>
      <c r="C2" s="344" t="str">
        <f>IF(System_1&lt;&gt;0,System_1,"")</f>
        <v/>
      </c>
      <c r="D2" s="344" t="str">
        <f>IF(System_2&lt;&gt;0,System_2,"")</f>
        <v/>
      </c>
      <c r="E2" s="344" t="str">
        <f>IF(Berechnung!I25&lt;&gt;0,Berechnung!I25,"")</f>
        <v/>
      </c>
      <c r="F2" s="344" t="str">
        <f>IF(System_4&lt;&gt;0,System_4,"")</f>
        <v/>
      </c>
      <c r="G2" s="344" t="str">
        <f>IF(System_5&lt;&gt;0,System_5,"")</f>
        <v>Oelheizung</v>
      </c>
      <c r="H2" s="344" t="str">
        <f>IF(System_6&lt;&gt;0,System_6,"")</f>
        <v/>
      </c>
      <c r="J2" t="s">
        <v>602</v>
      </c>
      <c r="K2" s="344" t="str">
        <f>IF(System_1&lt;&gt;0,System_1,"")</f>
        <v/>
      </c>
      <c r="L2" s="344" t="str">
        <f>IF(System_2&lt;&gt;0,System_2,"")</f>
        <v/>
      </c>
      <c r="M2" s="344" t="str">
        <f>IF(Berechnung!I25&lt;&gt;0,Berechnung!I25,"")</f>
        <v/>
      </c>
      <c r="N2" s="344" t="str">
        <f>IF(System_4&lt;&gt;0,System_4,"")</f>
        <v/>
      </c>
      <c r="O2" s="344" t="str">
        <f>IF(System_5&lt;&gt;0,System_5,"")</f>
        <v>Oelheizung</v>
      </c>
      <c r="P2" s="344" t="str">
        <f>IF(System_6&lt;&gt;0,System_6,"")</f>
        <v/>
      </c>
    </row>
    <row r="3" spans="1:16" ht="17.25" customHeight="1">
      <c r="A3" t="s">
        <v>32</v>
      </c>
      <c r="C3" s="136" t="str">
        <f>Berechnung!E52</f>
        <v xml:space="preserve"> </v>
      </c>
      <c r="D3" s="136" t="str">
        <f>Berechnung!G52</f>
        <v xml:space="preserve"> </v>
      </c>
      <c r="E3" s="136" t="str">
        <f>Berechnung!I52</f>
        <v xml:space="preserve"> </v>
      </c>
      <c r="F3" s="136" t="str">
        <f>Berechnung!K52</f>
        <v xml:space="preserve"> </v>
      </c>
      <c r="G3" s="136" t="str">
        <f>Berechnung!M52</f>
        <v xml:space="preserve"> </v>
      </c>
      <c r="H3" s="136" t="str">
        <f>Berechnung!O52</f>
        <v xml:space="preserve"> </v>
      </c>
      <c r="J3" t="s">
        <v>690</v>
      </c>
      <c r="K3" s="136" t="str">
        <f>IF(Berechnung!E28&lt;&gt;" ",(Berechnung!E28*VLOOKUP(Stromprodukt,Berechnungsgrundlagen!B191:F198,2,FALSE)+NEB*Berechnungsgrundlagen!C182+(NEB-Berechnung!E28))/1000,"")</f>
        <v/>
      </c>
      <c r="L3" s="136" t="str">
        <f>IF(Berechnung!G28&lt;&gt;" ",(Berechnung!G28*VLOOKUP(Stromprodukt,Berechnungsgrundlagen!B191:F198,2,FALSE)+NEB*Berechnungsgrundlagen!C181+(NEB-Berechnung!G28))/1000,"")</f>
        <v/>
      </c>
      <c r="M3" s="136" t="str">
        <f>IF(Berechnung!I28=" ","",IF(Berechnung!I25="Biogas",NEB*Berechnungsgrundlagen!C184/1000,NEB*Berechnungsgrundlagen!C183/1000))</f>
        <v/>
      </c>
      <c r="N3" s="136" t="str">
        <f>IF(Berechnung!K27&lt;&gt;" ",NEB*IF(Wärmenetz="Fernwärme Luzern AG",Berechnungsgrundlagen!C185,Berechnungsgrundlagen!C186)/1000,"")</f>
        <v/>
      </c>
      <c r="O3" s="136" t="str">
        <f>IF(Berechnung!M28&lt;&gt;" ",NEB*Berechnungsgrundlagen!C187/1000,"")</f>
        <v/>
      </c>
      <c r="P3" s="136" t="str">
        <f>IF(Berechnung!O28&lt;&gt;" ",NEB*Berechnungsgrundlagen!C188/1000,"")</f>
        <v/>
      </c>
    </row>
    <row r="4" spans="1:16" ht="17.25" customHeight="1">
      <c r="A4" t="s">
        <v>28</v>
      </c>
      <c r="C4" s="136" t="str">
        <f>Berechnung!E53</f>
        <v xml:space="preserve"> </v>
      </c>
      <c r="D4" s="136" t="str">
        <f>Berechnung!G53</f>
        <v xml:space="preserve"> </v>
      </c>
      <c r="E4" s="136" t="str">
        <f>Berechnung!I53</f>
        <v xml:space="preserve"> </v>
      </c>
      <c r="F4" s="136" t="str">
        <f>Berechnung!K53</f>
        <v xml:space="preserve"> </v>
      </c>
      <c r="G4" s="136">
        <f>Berechnung!M53</f>
        <v>1097.9672756419932</v>
      </c>
      <c r="H4" s="136" t="str">
        <f>Berechnung!O53</f>
        <v xml:space="preserve"> </v>
      </c>
      <c r="J4" t="s">
        <v>691</v>
      </c>
      <c r="K4" s="136" t="str">
        <f>IF(Berechnung!E28&lt;&gt;" ",(Berechnung!E28*VLOOKUP(Stromprodukt,Berechnungsgrundlagen!B191:F198,3,FALSE)+NEB*Berechnungsgrundlagen!D182)/1000,"")</f>
        <v/>
      </c>
      <c r="L4" s="136" t="str">
        <f>IF(Berechnung!G28&lt;&gt;" ",(Berechnung!G28*VLOOKUP(Stromprodukt,Berechnungsgrundlagen!B191:F198,3,FALSE)+NEB*Berechnungsgrundlagen!D181)/1000,"")</f>
        <v/>
      </c>
      <c r="M4" s="136" t="str">
        <f>IF(Berechnung!I28=" ","",IF(Berechnung!I25="Biogas",NEB*Berechnungsgrundlagen!D184/1000,NEB*Berechnungsgrundlagen!D183/1000))</f>
        <v/>
      </c>
      <c r="N4" s="136" t="str">
        <f>IF(Berechnung!K27&lt;&gt;" ",NEB*IF(Wärmenetz="Fernwärme Luzern AG",Berechnungsgrundlagen!D185,Berechnungsgrundlagen!D186)/1000,"")</f>
        <v/>
      </c>
      <c r="O4" s="136" t="str">
        <f>IF(Berechnung!M28&lt;&gt;" ",NEB*Berechnungsgrundlagen!D187/1000,"")</f>
        <v/>
      </c>
      <c r="P4" s="136" t="str">
        <f>IF(Berechnung!O28&lt;&gt;" ",NEB*Berechnungsgrundlagen!D188/1000,"")</f>
        <v/>
      </c>
    </row>
    <row r="5" spans="1:16" ht="17.25" customHeight="1">
      <c r="A5" t="s">
        <v>33</v>
      </c>
      <c r="C5" s="136" t="str">
        <f>Berechnung!E54</f>
        <v xml:space="preserve"> </v>
      </c>
      <c r="D5" s="136" t="str">
        <f>Berechnung!G54</f>
        <v xml:space="preserve"> </v>
      </c>
      <c r="E5" s="136" t="str">
        <f>Berechnung!I54</f>
        <v xml:space="preserve"> </v>
      </c>
      <c r="F5" s="136" t="str">
        <f>Berechnung!K54</f>
        <v xml:space="preserve"> </v>
      </c>
      <c r="G5" s="136">
        <f>Berechnung!M54</f>
        <v>2701.8095269922987</v>
      </c>
      <c r="H5" s="136" t="str">
        <f>Berechnung!O54</f>
        <v xml:space="preserve"> </v>
      </c>
      <c r="J5" t="s">
        <v>768</v>
      </c>
      <c r="K5" s="357" t="str">
        <f>IF(Berechnung!E28&lt;&gt;" ",(Berechnung!E28*VLOOKUP(Stromprodukt,Berechnungsgrundlagen!B191:F198,4,FALSE)+NEB*Berechnungsgrundlagen!E182)/1000,"")</f>
        <v/>
      </c>
      <c r="L5" s="357" t="str">
        <f>IF(Berechnung!G28&lt;&gt;" ",(Berechnung!G28*VLOOKUP(Stromprodukt,Berechnungsgrundlagen!B191:F198,4,FALSE)+NEB*Berechnungsgrundlagen!E181)/1000,"")</f>
        <v/>
      </c>
      <c r="M5" s="357" t="str">
        <f>IF(Berechnung!I28=" ","",IF(Berechnung!I25="Biogas",NEB*Berechnungsgrundlagen!E184/1000,NEB*Berechnungsgrundlagen!E183/1000))</f>
        <v/>
      </c>
      <c r="N5" s="357" t="str">
        <f>IF(Berechnung!K28&lt;&gt;" ",NEB*IF(Wärmenetz="Fernwärme Luzern AG",Berechnungsgrundlagen!E185,Berechnungsgrundlagen!E186)/1000,"")</f>
        <v/>
      </c>
      <c r="O5" s="357" t="str">
        <f>IF(Berechnung!M28&lt;&gt;" ",NEB*Berechnungsgrundlagen!E187/1000,"")</f>
        <v/>
      </c>
      <c r="P5" s="357" t="str">
        <f>IF(Berechnung!O28&lt;&gt;" ",NEB*Berechnungsgrundlagen!E188/1000,"")</f>
        <v/>
      </c>
    </row>
    <row r="6" spans="1:16" ht="17.25" customHeight="1">
      <c r="A6" t="s">
        <v>81</v>
      </c>
      <c r="C6" s="136" t="str">
        <f>IF(SUM(C3:C5)&lt;&gt;0,SUM(C3:C5),"")</f>
        <v/>
      </c>
      <c r="D6" s="136" t="str">
        <f t="shared" ref="D6:F6" si="0">IF(SUM(D3:D5)&lt;&gt;0,SUM(D3:D5),"")</f>
        <v/>
      </c>
      <c r="E6" s="136" t="str">
        <f t="shared" si="0"/>
        <v/>
      </c>
      <c r="F6" s="136" t="str">
        <f t="shared" si="0"/>
        <v/>
      </c>
      <c r="G6" s="136">
        <f>IF(System_4&lt;&gt;0,SUM(G3:G5),"")</f>
        <v>3799.7768026342919</v>
      </c>
      <c r="H6" s="136" t="str">
        <f>Berechnung!O55</f>
        <v xml:space="preserve"> </v>
      </c>
      <c r="J6" t="s">
        <v>769</v>
      </c>
      <c r="K6" s="357" t="str">
        <f>IF(Berechnung!E28&lt;&gt;" ",(Berechnung!E28*VLOOKUP(Stromprodukt,Berechnungsgrundlagen!B191:F198,5,FALSE)+NEB*Berechnungsgrundlagen!F182)/1000-K5,"")</f>
        <v/>
      </c>
      <c r="L6" s="357" t="str">
        <f>IF(Berechnung!G28&lt;&gt;" ",(Berechnung!G28*VLOOKUP(Stromprodukt,Berechnungsgrundlagen!B191:F198,5,FALSE)+NEB*Berechnungsgrundlagen!F181)/1000-L5,"")</f>
        <v/>
      </c>
      <c r="M6" s="357" t="str">
        <f>IF(Berechnung!I28&lt;&gt;" ",NEB*IF(Berechnung!I25="Biogas",Berechnungsgrundlagen!F184,Berechnungsgrundlagen!F183)/1000-M5,"")</f>
        <v/>
      </c>
      <c r="N6" s="357" t="str">
        <f>IF(Berechnung!K28&lt;&gt;" ",NEB*IF(Wärmenetz="Fernwärme Luzern AG",Berechnungsgrundlagen!F185,Berechnungsgrundlagen!F186)/1000-N5,"")</f>
        <v/>
      </c>
      <c r="O6" s="357" t="str">
        <f>IF(Berechnung!M28&lt;&gt;" ",NEB*Berechnungsgrundlagen!F187/1000-O5,"")</f>
        <v/>
      </c>
      <c r="P6" s="357" t="str">
        <f>IF(Berechnung!O28&lt;&gt;" ",NEB*Berechnungsgrundlagen!F188/1000-P5,"")</f>
        <v/>
      </c>
    </row>
    <row r="7" spans="1:16">
      <c r="A7" s="343"/>
      <c r="B7" s="343"/>
      <c r="C7" s="343"/>
      <c r="D7" s="343"/>
      <c r="E7" s="343"/>
      <c r="G7" s="343">
        <f>IF(Berechnung!M59=1,Berechnung!M55,Berechnung!O55)</f>
        <v>3799.7768026342919</v>
      </c>
      <c r="K7" s="357"/>
      <c r="L7" s="357"/>
      <c r="M7" s="357"/>
      <c r="N7" s="357"/>
      <c r="O7" s="357"/>
      <c r="P7" s="357"/>
    </row>
    <row r="8" spans="1:16">
      <c r="A8" s="343"/>
      <c r="B8" s="343"/>
      <c r="C8" s="343"/>
      <c r="D8" s="343"/>
      <c r="E8" s="343"/>
      <c r="G8" s="343"/>
      <c r="J8" s="406" t="s">
        <v>695</v>
      </c>
      <c r="K8" s="379" t="str">
        <f>IF(OR(Stromprodukt="Unbekannt (Gesamtmix Stadt Luzern)",Stromprodukt="ewl Mixstrom",Stromprodukt="CKW BudgetStrom",Stromprodukt="CKW ClassicStrom"),"Hinweis: Diese Stromqualität ist nicht ausreichend für die finanzielle Förderung von Wärmepumpen durch die Stadt Luzern.","")</f>
        <v>Hinweis: Diese Stromqualität ist nicht ausreichend für die finanzielle Förderung von Wärmepumpen durch die Stadt Luzern.</v>
      </c>
    </row>
    <row r="9" spans="1:16">
      <c r="A9" s="343" t="s">
        <v>603</v>
      </c>
      <c r="B9" s="343">
        <f>IF(G7=" ","",1.2*G7)</f>
        <v>4559.7321631611503</v>
      </c>
      <c r="C9" s="345">
        <f>IF(G7=" ","",1.2*G7)</f>
        <v>4559.7321631611503</v>
      </c>
      <c r="D9" s="345">
        <f>C9</f>
        <v>4559.7321631611503</v>
      </c>
      <c r="E9" s="345">
        <f>D9</f>
        <v>4559.7321631611503</v>
      </c>
      <c r="F9" s="345">
        <f>E9</f>
        <v>4559.7321631611503</v>
      </c>
      <c r="G9" s="345">
        <f>F9</f>
        <v>4559.7321631611503</v>
      </c>
      <c r="H9" s="345">
        <f>G9</f>
        <v>4559.7321631611503</v>
      </c>
      <c r="I9" s="345">
        <f t="shared" ref="I9" si="1">H9</f>
        <v>4559.7321631611503</v>
      </c>
      <c r="J9" s="358" t="str">
        <f>IF(Wärmenetz="Fernwärme Luzern AG","Die in Abfall enthaltene Energie wird den Produkten zugewiesen, welche den Abfall produziert haben (und nicht der daraus gewonnen Wärme). ","")</f>
        <v/>
      </c>
    </row>
    <row r="10" spans="1:16">
      <c r="J10" s="358" t="str">
        <f>IF(Wärmenetz="Fernwärme Luzern AG","Deswegen weist die Fernwärme Luzern AG, welche einen Grossteil der Wärme aus der Kehrrichtverbrennung gewinnt, einen verhältnismässig geringen Primärenergieverbrauch auf.","")</f>
        <v/>
      </c>
      <c r="K10" s="345"/>
      <c r="L10" s="345"/>
      <c r="M10" s="345"/>
      <c r="N10" s="345"/>
      <c r="O10" s="345"/>
      <c r="P10" s="345"/>
    </row>
  </sheetData>
  <sheetProtection algorithmName="SHA-512" hashValue="/WzOYPs9Hqlc7vm3xKiXcYrebtneJcypxxf9Ae00WZyu05QKabldSdQLKDe8g8KQ6sZ9HKAxViCx4NdfJDIRWg==" saltValue="DTg6wmzD3j1z+dGBatU0Lg==" spinCount="100000" sheet="1" objects="1" scenarios="1"/>
  <conditionalFormatting sqref="N3:N4">
    <cfRule type="expression" dxfId="27" priority="1">
      <formula>Wärmenetz="Fernwärme Luzern AG"</formula>
    </cfRule>
  </conditionalFormatting>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Berechnungsgrundlagen!$B$191:$B$198</xm:f>
          </x14:formula1>
          <xm:sqref>J8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32"/>
  <sheetViews>
    <sheetView zoomScaleNormal="100" workbookViewId="0">
      <selection activeCell="B31" sqref="B31"/>
    </sheetView>
  </sheetViews>
  <sheetFormatPr baseColWidth="10" defaultColWidth="10.85546875" defaultRowHeight="15"/>
  <cols>
    <col min="1" max="1" width="7.42578125" customWidth="1"/>
    <col min="2" max="2" width="59.140625" bestFit="1" customWidth="1"/>
    <col min="3" max="3" width="124.85546875" style="52" bestFit="1" customWidth="1"/>
  </cols>
  <sheetData>
    <row r="1" spans="1:3" s="37" customFormat="1">
      <c r="A1" s="32" t="s">
        <v>61</v>
      </c>
      <c r="B1" s="32" t="s">
        <v>62</v>
      </c>
      <c r="C1" s="32" t="s">
        <v>63</v>
      </c>
    </row>
    <row r="2" spans="1:3" s="41" customFormat="1">
      <c r="A2" s="41">
        <v>1.7</v>
      </c>
      <c r="B2" s="41" t="s">
        <v>737</v>
      </c>
      <c r="C2" s="383" t="str">
        <f>HYPERLINK("https://sadashboardprod.blob.core.windows.net/strapi-uploads/assets/Methodikbeschrieb_Dashboard_250602_6fe8a519cd.pdf","Methodikbeschrieb Klima- und Energiedashboard Kanton Luzern")</f>
        <v>Methodikbeschrieb Klima- und Energiedashboard Kanton Luzern</v>
      </c>
    </row>
    <row r="3" spans="1:3" s="41" customFormat="1">
      <c r="A3" s="41">
        <v>2.1</v>
      </c>
      <c r="B3" s="41" t="s">
        <v>21</v>
      </c>
      <c r="C3" s="41" t="s">
        <v>577</v>
      </c>
    </row>
    <row r="4" spans="1:3" s="41" customFormat="1">
      <c r="A4" s="41">
        <v>2.4</v>
      </c>
      <c r="B4" s="41" t="s">
        <v>64</v>
      </c>
      <c r="C4" s="200" t="s">
        <v>578</v>
      </c>
    </row>
    <row r="5" spans="1:3" s="41" customFormat="1">
      <c r="A5" s="41">
        <v>2.4</v>
      </c>
      <c r="B5" s="41" t="s">
        <v>582</v>
      </c>
      <c r="C5" s="200" t="s">
        <v>798</v>
      </c>
    </row>
    <row r="6" spans="1:3" s="41" customFormat="1">
      <c r="A6" s="41">
        <v>2.4</v>
      </c>
      <c r="B6" s="41" t="s">
        <v>65</v>
      </c>
      <c r="C6" s="41" t="s">
        <v>579</v>
      </c>
    </row>
    <row r="7" spans="1:3" s="41" customFormat="1">
      <c r="A7" s="41">
        <v>2.4</v>
      </c>
      <c r="B7" s="41" t="s">
        <v>583</v>
      </c>
      <c r="C7" s="200" t="s">
        <v>584</v>
      </c>
    </row>
    <row r="8" spans="1:3" s="41" customFormat="1">
      <c r="A8" s="41">
        <v>2.4</v>
      </c>
      <c r="B8" s="41" t="s">
        <v>585</v>
      </c>
      <c r="C8" s="41" t="s">
        <v>396</v>
      </c>
    </row>
    <row r="9" spans="1:3" s="41" customFormat="1">
      <c r="A9" s="364" t="s">
        <v>682</v>
      </c>
      <c r="B9" s="41" t="s">
        <v>176</v>
      </c>
      <c r="C9" s="41" t="s">
        <v>177</v>
      </c>
    </row>
    <row r="10" spans="1:3" s="41" customFormat="1">
      <c r="A10" s="41">
        <v>3.1</v>
      </c>
      <c r="B10" s="51" t="s">
        <v>680</v>
      </c>
      <c r="C10" s="41" t="s">
        <v>580</v>
      </c>
    </row>
    <row r="11" spans="1:3" s="41" customFormat="1">
      <c r="A11" s="41">
        <v>3.1</v>
      </c>
      <c r="B11" s="51" t="s">
        <v>681</v>
      </c>
      <c r="C11" s="41" t="s">
        <v>396</v>
      </c>
    </row>
    <row r="12" spans="1:3" s="41" customFormat="1">
      <c r="A12" s="41">
        <v>3.3</v>
      </c>
      <c r="B12" s="51" t="s">
        <v>746</v>
      </c>
      <c r="C12" s="41" t="s">
        <v>396</v>
      </c>
    </row>
    <row r="13" spans="1:3" s="41" customFormat="1">
      <c r="A13" s="41">
        <v>4.0999999999999996</v>
      </c>
      <c r="B13" s="41" t="s">
        <v>178</v>
      </c>
      <c r="C13" s="41" t="s">
        <v>580</v>
      </c>
    </row>
    <row r="14" spans="1:3" s="41" customFormat="1">
      <c r="A14" s="41">
        <v>5.0999999999999996</v>
      </c>
      <c r="B14" s="51" t="s">
        <v>581</v>
      </c>
      <c r="C14" s="200" t="s">
        <v>799</v>
      </c>
    </row>
    <row r="15" spans="1:3" s="41" customFormat="1">
      <c r="A15" s="41">
        <v>6.1</v>
      </c>
      <c r="B15" s="41" t="s">
        <v>586</v>
      </c>
      <c r="C15" s="41" t="s">
        <v>779</v>
      </c>
    </row>
    <row r="16" spans="1:3" s="41" customFormat="1">
      <c r="A16" s="41">
        <v>7.1</v>
      </c>
      <c r="B16" s="41" t="s">
        <v>52</v>
      </c>
      <c r="C16" s="200" t="s">
        <v>187</v>
      </c>
    </row>
    <row r="17" spans="1:3" s="41" customFormat="1">
      <c r="A17" s="52"/>
      <c r="B17" s="41" t="s">
        <v>692</v>
      </c>
      <c r="C17" s="41" t="s">
        <v>693</v>
      </c>
    </row>
    <row r="18" spans="1:3" s="41" customFormat="1"/>
    <row r="19" spans="1:3" s="41" customFormat="1"/>
    <row r="20" spans="1:3" s="41" customFormat="1"/>
    <row r="21" spans="1:3" s="41" customFormat="1"/>
    <row r="22" spans="1:3" s="41" customFormat="1"/>
    <row r="23" spans="1:3" s="41" customFormat="1"/>
    <row r="24" spans="1:3" s="41" customFormat="1"/>
    <row r="25" spans="1:3" s="41" customFormat="1"/>
    <row r="26" spans="1:3" s="41" customFormat="1"/>
    <row r="27" spans="1:3" s="41" customFormat="1"/>
    <row r="28" spans="1:3" s="41" customFormat="1"/>
    <row r="29" spans="1:3" s="41" customFormat="1"/>
    <row r="30" spans="1:3" s="41" customFormat="1"/>
    <row r="31" spans="1:3" s="41" customFormat="1"/>
    <row r="32" spans="1:3" s="41" customFormat="1"/>
  </sheetData>
  <sheetProtection algorithmName="SHA-512" hashValue="AZpSi8eGQr7/Z8w2Ynh6M/k7ohX6pyxR3uk1Ru8xhuD4E8BnXzpei1Zo0Dy1g72DMSigBiiqEsJsuNBWBavfTA==" saltValue="QXVbMhZgy1jLXqB3Dm7PfA==" spinCount="100000" sheet="1" objects="1" scenarios="1"/>
  <hyperlinks>
    <hyperlink ref="C4" r:id="rId1" xr:uid="{00000000-0004-0000-0200-000000000000}"/>
    <hyperlink ref="C5" r:id="rId2" xr:uid="{00000000-0004-0000-0200-000001000000}"/>
    <hyperlink ref="C16" r:id="rId3" xr:uid="{00000000-0004-0000-0200-000003000000}"/>
    <hyperlink ref="C7" r:id="rId4" xr:uid="{00000000-0004-0000-0200-000004000000}"/>
    <hyperlink ref="C14" r:id="rId5" xr:uid="{47E76260-E86F-41BE-9AAA-D540386A3198}"/>
  </hyperlinks>
  <pageMargins left="0.7" right="0.7" top="0.78740157499999996" bottom="0.78740157499999996" header="0.3" footer="0.3"/>
  <pageSetup paperSize="9"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0"/>
  <sheetViews>
    <sheetView workbookViewId="0">
      <selection activeCell="B20" sqref="B20"/>
    </sheetView>
  </sheetViews>
  <sheetFormatPr baseColWidth="10" defaultRowHeight="15"/>
  <cols>
    <col min="1" max="1" width="36" customWidth="1"/>
    <col min="2" max="2" width="58" customWidth="1"/>
    <col min="3" max="10" width="36" customWidth="1"/>
  </cols>
  <sheetData>
    <row r="1" spans="1:5">
      <c r="A1" s="281" t="s">
        <v>437</v>
      </c>
      <c r="B1" s="1" t="str">
        <f>IF(Berechnung!D7="","",_xlfn.WEBSERVICE(CONCATENATE("https://api3.geo.admin.ch/rest/services/api/SearchServer?searchText=" &amp; Adresse &amp; "&amp;origins=address&amp;type=locations")))</f>
        <v/>
      </c>
      <c r="C1" s="209"/>
      <c r="D1" s="209"/>
      <c r="E1" s="209"/>
    </row>
    <row r="2" spans="1:5">
      <c r="A2" s="282" t="s">
        <v>438</v>
      </c>
      <c r="B2" s="1" t="str">
        <f>IF($B1="","",IF(ISNUMBER(SEARCH("[]",$B1)),"Adresse nicht eindeutig","Gebäude gefunden"))</f>
        <v/>
      </c>
      <c r="C2" s="209"/>
      <c r="D2" s="209"/>
      <c r="E2" s="209" t="s">
        <v>337</v>
      </c>
    </row>
    <row r="3" spans="1:5">
      <c r="A3" s="283" t="s">
        <v>439</v>
      </c>
      <c r="B3" s="210" t="str">
        <f>IF($B1="","",IF(ISNUMBER(SEARCH("[]",$B1))," ",MID($B1,SEARCH("featureId",$B1)+12,SEARCH(",""geom_quadindex"":",$B1)-SEARCH("featureId",$B1)-13)))</f>
        <v/>
      </c>
      <c r="C3" s="211" t="e">
        <f>VALUE(MID(B3,1,FIND("_",B3,1)-1))</f>
        <v>#VALUE!</v>
      </c>
      <c r="D3" s="212" t="e">
        <f>VALUE(MID(B3,FIND("_",B3,1)+1,3))</f>
        <v>#VALUE!</v>
      </c>
    </row>
    <row r="4" spans="1:5">
      <c r="A4" s="284"/>
    </row>
    <row r="5" spans="1:5">
      <c r="A5" s="281" t="s">
        <v>440</v>
      </c>
      <c r="B5" s="1" t="str">
        <f>IF(ISERROR(C3),"",CONCATENATE(_xlfn.WEBSERVICE("https://api3.geo.admin.ch/rest/services/api/MapServer/find?layer=ch.bfs.gebaeude_wohnungs_register&amp;searchText="&amp;C3&amp;"&amp;searchField=egid&amp;returnGeometry=false&amp;contains=false")))</f>
        <v/>
      </c>
      <c r="D5" s="1"/>
    </row>
    <row r="6" spans="1:5">
      <c r="A6" s="281" t="s">
        <v>441</v>
      </c>
      <c r="B6" s="1" t="str">
        <f>SUBSTITUTE(B5,"""","")</f>
        <v/>
      </c>
    </row>
    <row r="7" spans="1:5">
      <c r="A7" s="281"/>
      <c r="B7" s="1"/>
    </row>
    <row r="8" spans="1:5">
      <c r="A8" s="281"/>
      <c r="B8" s="285" t="s">
        <v>442</v>
      </c>
      <c r="C8" s="285" t="s">
        <v>443</v>
      </c>
      <c r="D8" s="285" t="s">
        <v>444</v>
      </c>
      <c r="E8" s="285" t="s">
        <v>445</v>
      </c>
    </row>
    <row r="9" spans="1:5">
      <c r="A9" s="286" t="s">
        <v>446</v>
      </c>
      <c r="B9" s="287" t="e">
        <f>C9</f>
        <v>#VALUE!</v>
      </c>
      <c r="C9" s="287" t="e">
        <f>D9</f>
        <v>#VALUE!</v>
      </c>
      <c r="D9" s="287" t="e">
        <f>MID(B6,SEARCH("gebf:",B6)+6,SEARCH(", gwaerzh1",B6)-SEARCH("gebf:",B6)-6)</f>
        <v>#VALUE!</v>
      </c>
      <c r="E9" s="287" t="s">
        <v>447</v>
      </c>
    </row>
    <row r="10" spans="1:5">
      <c r="A10" s="286" t="s">
        <v>448</v>
      </c>
      <c r="B10" s="287" t="e">
        <f>C10</f>
        <v>#VALUE!</v>
      </c>
      <c r="C10" s="287" t="e">
        <f>IF(D10="null","keine Angaben",VLOOKUP(_xlfn.NUMBERVALUE(D10),Table24[],2,FALSE))</f>
        <v>#VALUE!</v>
      </c>
      <c r="D10" s="287" t="e">
        <f>MID(B6,SEARCH("gwaerzh1: ",B6)+10,SEARCH(", genh1",B6)-SEARCH("gwaerzh1: ",B6)-10)</f>
        <v>#VALUE!</v>
      </c>
      <c r="E10" s="287" t="s">
        <v>449</v>
      </c>
    </row>
    <row r="11" spans="1:5">
      <c r="A11" s="286" t="s">
        <v>450</v>
      </c>
      <c r="B11" s="287" t="e">
        <f>IF(C11="keine Angaben",C11,VLOOKUP(C11,Table2[[Quelle]:[Heizsystem (Übersetzung)]],2,FALSE))</f>
        <v>#VALUE!</v>
      </c>
      <c r="C11" s="287" t="e">
        <f>IF(D11="null","keine Angaben",VLOOKUP(_xlfn.NUMBERVALUE(D11),Table2[],2,FALSE))</f>
        <v>#VALUE!</v>
      </c>
      <c r="D11" s="287" t="e">
        <f>MID(B6,SEARCH("genh1: ",B6)+7,SEARCH(", gwaersceh1",B6)-SEARCH("genh1: ",B6)-7)</f>
        <v>#VALUE!</v>
      </c>
      <c r="E11" s="287" t="s">
        <v>451</v>
      </c>
    </row>
    <row r="12" spans="1:5">
      <c r="A12" s="286" t="s">
        <v>452</v>
      </c>
      <c r="B12" s="287" t="e">
        <f>C12</f>
        <v>#VALUE!</v>
      </c>
      <c r="C12" s="287" t="e">
        <f>IF(D12="null","keine Angaben",VLOOKUP(_xlfn.NUMBERVALUE(D12),Table242[],2,FALSE))</f>
        <v>#VALUE!</v>
      </c>
      <c r="D12" s="287" t="e">
        <f>MID(B6,SEARCH("gwaerzw1: ",B6)+10,SEARCH(", genw1",B6)-SEARCH("gwaerzw1: ",B6)-10)</f>
        <v>#VALUE!</v>
      </c>
      <c r="E12" s="287" t="s">
        <v>453</v>
      </c>
    </row>
    <row r="13" spans="1:5">
      <c r="A13" s="286" t="s">
        <v>454</v>
      </c>
      <c r="B13" s="287" t="e">
        <f>IF(C13="keine Angaben",C13,VLOOKUP(C13,Table2[[Quelle]:[Heizsystem (Übersetzung)]],2,FALSE))</f>
        <v>#VALUE!</v>
      </c>
      <c r="C13" s="287" t="e">
        <f>IF(D13="null","keine Angaben",VLOOKUP(_xlfn.NUMBERVALUE(D13),Table2[],2,FALSE))</f>
        <v>#VALUE!</v>
      </c>
      <c r="D13" s="287" t="e">
        <f>MID(B6,SEARCH("genw1: ",B6)+7,SEARCH(", gwaerscew1",B6)-SEARCH("genw1: ",B6)-7)</f>
        <v>#VALUE!</v>
      </c>
      <c r="E13" s="287" t="s">
        <v>455</v>
      </c>
    </row>
    <row r="14" spans="1:5">
      <c r="A14" s="286" t="s">
        <v>456</v>
      </c>
      <c r="B14" s="287" t="e">
        <f>C14</f>
        <v>#VALUE!</v>
      </c>
      <c r="C14" s="287" t="e">
        <f>IF(D14="null","keine Angaben",VLOOKUP(_xlfn.NUMBERVALUE(D14),Table24[],2,FALSE))</f>
        <v>#VALUE!</v>
      </c>
      <c r="D14" s="287" t="e">
        <f>MID(B6,SEARCH("gwaerzh2: ",B6)+10,SEARCH(", genh2",B6)-SEARCH("gwaerzh2: ",B6)-10)</f>
        <v>#VALUE!</v>
      </c>
      <c r="E14" s="287" t="s">
        <v>457</v>
      </c>
    </row>
    <row r="15" spans="1:5">
      <c r="A15" s="286" t="s">
        <v>458</v>
      </c>
      <c r="B15" s="287" t="e">
        <f>IF(C15="keine Angaben",C15,VLOOKUP(C15,Table2[[Quelle]:[Heizsystem (Übersetzung)]],2,FALSE))</f>
        <v>#VALUE!</v>
      </c>
      <c r="C15" s="287" t="e">
        <f>IF(D15="null","keine Angaben",VLOOKUP(_xlfn.NUMBERVALUE(D15),Table2[],2,FALSE))</f>
        <v>#VALUE!</v>
      </c>
      <c r="D15" s="287" t="e">
        <f>MID(B6,SEARCH("genh2: ",B6)+7,SEARCH(", gwaersceh2",B6)-SEARCH("genh2: ",B6)-7)</f>
        <v>#VALUE!</v>
      </c>
      <c r="E15" s="287" t="s">
        <v>459</v>
      </c>
    </row>
    <row r="16" spans="1:5">
      <c r="A16" s="286" t="s">
        <v>460</v>
      </c>
      <c r="B16" s="287" t="e">
        <f>C16</f>
        <v>#VALUE!</v>
      </c>
      <c r="C16" s="287" t="e">
        <f>IF(D16="null","keine Angaben",VLOOKUP(_xlfn.NUMBERVALUE(D16),Table242[],2,FALSE))</f>
        <v>#VALUE!</v>
      </c>
      <c r="D16" s="287" t="e">
        <f>MID(B6,SEARCH("gwaerzw2: ",B6)+10,SEARCH(", genw2",B6)-SEARCH("gwaerzw2: ",B6)-10)</f>
        <v>#VALUE!</v>
      </c>
      <c r="E16" s="287" t="s">
        <v>461</v>
      </c>
    </row>
    <row r="17" spans="1:6">
      <c r="A17" s="286" t="s">
        <v>460</v>
      </c>
      <c r="B17" s="287" t="e">
        <f>IF(C17="keine Angaben",C17,VLOOKUP(C17,Table2[[Quelle]:[Heizsystem (Übersetzung)]],2,FALSE))</f>
        <v>#VALUE!</v>
      </c>
      <c r="C17" s="287" t="e">
        <f>IF(D17="null","keine Angaben",VLOOKUP(_xlfn.NUMBERVALUE(D17),Table2[],2,FALSE))</f>
        <v>#VALUE!</v>
      </c>
      <c r="D17" s="287" t="e">
        <f>MID(B6,SEARCH("genw2: ",B6)+7,SEARCH(", gwaerscew2",B6)-SEARCH("genw2: ",B6)-7)</f>
        <v>#VALUE!</v>
      </c>
      <c r="E17" s="287" t="s">
        <v>462</v>
      </c>
    </row>
    <row r="18" spans="1:6">
      <c r="A18" s="286" t="s">
        <v>789</v>
      </c>
      <c r="B18" s="287" t="e">
        <f>C18</f>
        <v>#VALUE!</v>
      </c>
      <c r="C18" s="287" t="e">
        <f>IF(D18="null","keine Angaben",D18)</f>
        <v>#VALUE!</v>
      </c>
      <c r="D18" s="287" t="e">
        <f>MID(B6,SEARCH("gbauj: ",B6)+7,SEARCH(", gbaum",B6)-SEARCH("gbauj: ",B6)-7)</f>
        <v>#VALUE!</v>
      </c>
      <c r="E18" s="287" t="s">
        <v>790</v>
      </c>
    </row>
    <row r="19" spans="1:6">
      <c r="A19" s="286" t="s">
        <v>717</v>
      </c>
      <c r="B19" s="287" t="e">
        <f>IF(C19="Ab 2016",IF(B18&gt;=2021,"Ab 2021","2016-2020"),C19)</f>
        <v>#VALUE!</v>
      </c>
      <c r="C19" s="287" t="e">
        <f>IF(D19="null","keine Angaben",VLOOKUP(_xlfn.NUMBERVALUE(D19),Table4,2,FALSE))</f>
        <v>#VALUE!</v>
      </c>
      <c r="D19" s="287" t="e">
        <f>MID(B6,SEARCH("gbaup: ",B6)+7,SEARCH(", gabbj",B6)-SEARCH("gbaup: ",B6)-7)</f>
        <v>#VALUE!</v>
      </c>
      <c r="E19" s="287" t="s">
        <v>718</v>
      </c>
    </row>
    <row r="21" spans="1:6">
      <c r="A21" s="288" t="s">
        <v>463</v>
      </c>
    </row>
    <row r="22" spans="1:6">
      <c r="A22" s="288"/>
    </row>
    <row r="23" spans="1:6">
      <c r="A23" s="289" t="s">
        <v>464</v>
      </c>
      <c r="D23" s="289" t="s">
        <v>465</v>
      </c>
    </row>
    <row r="24" spans="1:6">
      <c r="A24" s="289" t="s">
        <v>466</v>
      </c>
      <c r="B24" s="289" t="s">
        <v>467</v>
      </c>
      <c r="C24" s="289"/>
      <c r="D24" s="289" t="s">
        <v>466</v>
      </c>
      <c r="E24" s="289" t="s">
        <v>63</v>
      </c>
      <c r="F24" s="289" t="s">
        <v>468</v>
      </c>
    </row>
    <row r="25" spans="1:6">
      <c r="A25" s="288">
        <v>7400</v>
      </c>
      <c r="B25" s="288" t="s">
        <v>469</v>
      </c>
      <c r="C25" s="288"/>
      <c r="D25" s="288">
        <v>7500</v>
      </c>
      <c r="E25" s="288" t="s">
        <v>470</v>
      </c>
      <c r="F25" s="288" t="s">
        <v>470</v>
      </c>
    </row>
    <row r="26" spans="1:6">
      <c r="A26" s="288">
        <v>7410</v>
      </c>
      <c r="B26" s="288" t="s">
        <v>471</v>
      </c>
      <c r="C26" s="288"/>
      <c r="D26" s="288">
        <v>7501</v>
      </c>
      <c r="E26" s="288" t="s">
        <v>472</v>
      </c>
      <c r="F26" s="288" t="s">
        <v>473</v>
      </c>
    </row>
    <row r="27" spans="1:6">
      <c r="A27" s="288">
        <v>7411</v>
      </c>
      <c r="B27" s="288" t="s">
        <v>474</v>
      </c>
      <c r="C27" s="288"/>
      <c r="D27" s="288">
        <v>7510</v>
      </c>
      <c r="E27" s="288" t="s">
        <v>475</v>
      </c>
      <c r="F27" s="288" t="s">
        <v>476</v>
      </c>
    </row>
    <row r="28" spans="1:6">
      <c r="A28" s="288">
        <v>7420</v>
      </c>
      <c r="B28" s="288" t="s">
        <v>477</v>
      </c>
      <c r="C28" s="288"/>
      <c r="D28" s="288">
        <v>7511</v>
      </c>
      <c r="E28" s="288" t="s">
        <v>478</v>
      </c>
      <c r="F28" s="288" t="s">
        <v>476</v>
      </c>
    </row>
    <row r="29" spans="1:6">
      <c r="A29" s="288">
        <v>7421</v>
      </c>
      <c r="B29" s="288" t="s">
        <v>479</v>
      </c>
      <c r="C29" s="288"/>
      <c r="D29" s="288">
        <v>7512</v>
      </c>
      <c r="E29" s="288" t="s">
        <v>480</v>
      </c>
      <c r="F29" s="288" t="s">
        <v>476</v>
      </c>
    </row>
    <row r="30" spans="1:6">
      <c r="A30" s="288">
        <v>7430</v>
      </c>
      <c r="B30" s="288" t="s">
        <v>481</v>
      </c>
      <c r="C30" s="288"/>
      <c r="D30" s="288">
        <v>7513</v>
      </c>
      <c r="E30" s="288" t="s">
        <v>482</v>
      </c>
      <c r="F30" s="288" t="s">
        <v>483</v>
      </c>
    </row>
    <row r="31" spans="1:6">
      <c r="A31" s="288">
        <v>7431</v>
      </c>
      <c r="B31" s="288" t="s">
        <v>484</v>
      </c>
      <c r="C31" s="288"/>
      <c r="D31" s="288">
        <v>7520</v>
      </c>
      <c r="E31" s="288" t="s">
        <v>485</v>
      </c>
      <c r="F31" s="288" t="s">
        <v>44</v>
      </c>
    </row>
    <row r="32" spans="1:6">
      <c r="A32" s="288">
        <v>7432</v>
      </c>
      <c r="B32" s="288" t="s">
        <v>486</v>
      </c>
      <c r="C32" s="288"/>
      <c r="D32" s="288">
        <v>7530</v>
      </c>
      <c r="E32" s="288" t="s">
        <v>487</v>
      </c>
      <c r="F32" s="288" t="s">
        <v>488</v>
      </c>
    </row>
    <row r="33" spans="1:6">
      <c r="A33" s="288">
        <v>7433</v>
      </c>
      <c r="B33" s="288" t="s">
        <v>489</v>
      </c>
      <c r="C33" s="288"/>
      <c r="D33" s="288">
        <v>7540</v>
      </c>
      <c r="E33" s="288" t="s">
        <v>490</v>
      </c>
      <c r="F33" s="288" t="s">
        <v>491</v>
      </c>
    </row>
    <row r="34" spans="1:6">
      <c r="A34" s="288">
        <v>7434</v>
      </c>
      <c r="B34" s="288" t="s">
        <v>492</v>
      </c>
      <c r="C34" s="288"/>
      <c r="D34" s="288">
        <v>7541</v>
      </c>
      <c r="E34" s="288" t="s">
        <v>493</v>
      </c>
      <c r="F34" s="288" t="s">
        <v>494</v>
      </c>
    </row>
    <row r="35" spans="1:6">
      <c r="A35" s="288">
        <v>7435</v>
      </c>
      <c r="B35" s="288" t="s">
        <v>495</v>
      </c>
      <c r="C35" s="288"/>
      <c r="D35" s="288">
        <v>7542</v>
      </c>
      <c r="E35" s="288" t="s">
        <v>496</v>
      </c>
      <c r="F35" s="288" t="s">
        <v>497</v>
      </c>
    </row>
    <row r="36" spans="1:6">
      <c r="A36" s="288">
        <v>7436</v>
      </c>
      <c r="B36" s="288" t="s">
        <v>498</v>
      </c>
      <c r="C36" s="288"/>
      <c r="D36" s="288">
        <v>7543</v>
      </c>
      <c r="E36" s="288" t="s">
        <v>499</v>
      </c>
      <c r="F36" s="288" t="s">
        <v>500</v>
      </c>
    </row>
    <row r="37" spans="1:6">
      <c r="A37" s="288">
        <v>7440</v>
      </c>
      <c r="B37" s="288" t="s">
        <v>501</v>
      </c>
      <c r="C37" s="288"/>
      <c r="D37" s="288">
        <v>7550</v>
      </c>
      <c r="E37" s="288" t="s">
        <v>502</v>
      </c>
      <c r="F37" s="288" t="s">
        <v>503</v>
      </c>
    </row>
    <row r="38" spans="1:6">
      <c r="A38" s="288">
        <v>7441</v>
      </c>
      <c r="B38" s="288" t="s">
        <v>504</v>
      </c>
      <c r="C38" s="288"/>
      <c r="D38" s="288">
        <v>7560</v>
      </c>
      <c r="E38" s="288" t="s">
        <v>505</v>
      </c>
      <c r="F38" s="288" t="s">
        <v>506</v>
      </c>
    </row>
    <row r="39" spans="1:6">
      <c r="A39" s="288">
        <v>7450</v>
      </c>
      <c r="B39" s="288" t="s">
        <v>507</v>
      </c>
      <c r="C39" s="288"/>
      <c r="D39" s="288">
        <v>7570</v>
      </c>
      <c r="E39" s="288" t="s">
        <v>508</v>
      </c>
      <c r="F39" s="288" t="s">
        <v>509</v>
      </c>
    </row>
    <row r="40" spans="1:6">
      <c r="A40" s="288">
        <v>7451</v>
      </c>
      <c r="B40" s="288" t="s">
        <v>510</v>
      </c>
      <c r="C40" s="288"/>
      <c r="D40" s="288">
        <v>7580</v>
      </c>
      <c r="E40" s="288" t="s">
        <v>511</v>
      </c>
      <c r="F40" s="288" t="s">
        <v>47</v>
      </c>
    </row>
    <row r="41" spans="1:6">
      <c r="A41" s="288">
        <v>7452</v>
      </c>
      <c r="B41" s="288" t="s">
        <v>112</v>
      </c>
      <c r="C41" s="288"/>
      <c r="D41" s="288">
        <v>7581</v>
      </c>
      <c r="E41" s="288" t="s">
        <v>512</v>
      </c>
      <c r="F41" s="288" t="s">
        <v>47</v>
      </c>
    </row>
    <row r="42" spans="1:6">
      <c r="A42" s="288">
        <v>7460</v>
      </c>
      <c r="B42" s="288" t="s">
        <v>513</v>
      </c>
      <c r="C42" s="288"/>
      <c r="D42" s="288">
        <v>7582</v>
      </c>
      <c r="E42" s="288" t="s">
        <v>514</v>
      </c>
      <c r="F42" s="288" t="s">
        <v>47</v>
      </c>
    </row>
    <row r="43" spans="1:6">
      <c r="A43" s="288">
        <v>7461</v>
      </c>
      <c r="B43" s="288" t="s">
        <v>515</v>
      </c>
      <c r="C43" s="288"/>
      <c r="D43" s="288">
        <v>7598</v>
      </c>
      <c r="E43" s="288" t="s">
        <v>516</v>
      </c>
      <c r="F43" s="288" t="s">
        <v>517</v>
      </c>
    </row>
    <row r="44" spans="1:6">
      <c r="A44" s="288">
        <v>7499</v>
      </c>
      <c r="B44" s="288" t="s">
        <v>518</v>
      </c>
      <c r="C44" s="288"/>
      <c r="D44" s="288">
        <v>7599</v>
      </c>
      <c r="E44" s="288" t="s">
        <v>518</v>
      </c>
      <c r="F44" s="288" t="s">
        <v>518</v>
      </c>
    </row>
    <row r="45" spans="1:6">
      <c r="A45" s="276"/>
      <c r="B45" s="276"/>
      <c r="C45" s="276"/>
    </row>
    <row r="46" spans="1:6">
      <c r="A46" s="289" t="s">
        <v>519</v>
      </c>
      <c r="D46" s="289" t="s">
        <v>717</v>
      </c>
    </row>
    <row r="47" spans="1:6">
      <c r="A47" s="289" t="s">
        <v>466</v>
      </c>
      <c r="B47" s="289" t="s">
        <v>467</v>
      </c>
      <c r="D47" s="289" t="s">
        <v>466</v>
      </c>
      <c r="E47" s="289" t="s">
        <v>732</v>
      </c>
    </row>
    <row r="48" spans="1:6">
      <c r="A48" s="288">
        <v>7600</v>
      </c>
      <c r="B48" s="288" t="s">
        <v>469</v>
      </c>
      <c r="D48" s="288">
        <v>8011</v>
      </c>
      <c r="E48" s="288" t="s">
        <v>719</v>
      </c>
    </row>
    <row r="49" spans="1:5">
      <c r="A49" s="288">
        <v>7610</v>
      </c>
      <c r="B49" s="288" t="s">
        <v>520</v>
      </c>
      <c r="D49" s="288">
        <v>8012</v>
      </c>
      <c r="E49" s="288" t="s">
        <v>720</v>
      </c>
    </row>
    <row r="50" spans="1:5">
      <c r="A50" s="288">
        <v>7620</v>
      </c>
      <c r="B50" s="288" t="s">
        <v>509</v>
      </c>
      <c r="D50" s="288">
        <v>8013</v>
      </c>
      <c r="E50" s="288" t="s">
        <v>721</v>
      </c>
    </row>
    <row r="51" spans="1:5">
      <c r="A51" s="288">
        <v>7630</v>
      </c>
      <c r="B51" s="288" t="s">
        <v>521</v>
      </c>
      <c r="D51" s="288">
        <v>8014</v>
      </c>
      <c r="E51" s="288" t="s">
        <v>722</v>
      </c>
    </row>
    <row r="52" spans="1:5">
      <c r="A52" s="288">
        <v>7632</v>
      </c>
      <c r="B52" s="288" t="s">
        <v>522</v>
      </c>
      <c r="D52" s="288">
        <v>8015</v>
      </c>
      <c r="E52" s="288" t="s">
        <v>723</v>
      </c>
    </row>
    <row r="53" spans="1:5">
      <c r="A53" s="288">
        <v>7634</v>
      </c>
      <c r="B53" s="288" t="s">
        <v>523</v>
      </c>
      <c r="D53" s="288">
        <v>8016</v>
      </c>
      <c r="E53" s="288" t="s">
        <v>724</v>
      </c>
    </row>
    <row r="54" spans="1:5">
      <c r="A54" s="288">
        <v>7640</v>
      </c>
      <c r="B54" s="288" t="s">
        <v>524</v>
      </c>
      <c r="D54" s="288">
        <v>8017</v>
      </c>
      <c r="E54" s="288" t="s">
        <v>725</v>
      </c>
    </row>
    <row r="55" spans="1:5">
      <c r="A55" s="288">
        <v>7650</v>
      </c>
      <c r="B55" s="288" t="s">
        <v>525</v>
      </c>
      <c r="D55" s="288">
        <v>8018</v>
      </c>
      <c r="E55" s="288" t="s">
        <v>726</v>
      </c>
    </row>
    <row r="56" spans="1:5">
      <c r="A56" s="288">
        <v>7651</v>
      </c>
      <c r="B56" s="288" t="s">
        <v>526</v>
      </c>
      <c r="D56" s="288">
        <v>8019</v>
      </c>
      <c r="E56" s="288" t="s">
        <v>727</v>
      </c>
    </row>
    <row r="57" spans="1:5">
      <c r="A57" s="288">
        <v>7660</v>
      </c>
      <c r="B57" s="288" t="s">
        <v>527</v>
      </c>
      <c r="D57" s="288">
        <v>8020</v>
      </c>
      <c r="E57" s="288" t="s">
        <v>728</v>
      </c>
    </row>
    <row r="58" spans="1:5">
      <c r="A58" s="288">
        <v>7699</v>
      </c>
      <c r="B58" s="288" t="s">
        <v>518</v>
      </c>
      <c r="D58" s="288">
        <v>8021</v>
      </c>
      <c r="E58" s="288" t="s">
        <v>729</v>
      </c>
    </row>
    <row r="59" spans="1:5">
      <c r="D59" s="288">
        <v>8022</v>
      </c>
      <c r="E59" s="382" t="s">
        <v>730</v>
      </c>
    </row>
    <row r="60" spans="1:5">
      <c r="D60" s="288">
        <v>8023</v>
      </c>
      <c r="E60" s="382" t="s">
        <v>731</v>
      </c>
    </row>
  </sheetData>
  <conditionalFormatting sqref="B2">
    <cfRule type="expression" dxfId="26" priority="1">
      <formula>IF(B2="Adresse nicht eindeutig",TRUE,FALSE)</formula>
    </cfRule>
  </conditionalFormatting>
  <pageMargins left="0.7" right="0.7" top="0.78740157499999996" bottom="0.78740157499999996" header="0.3" footer="0.3"/>
  <pageSetup paperSize="0" orientation="portrait" horizontalDpi="0" verticalDpi="0" copies="0"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pageSetUpPr fitToPage="1"/>
  </sheetPr>
  <dimension ref="A1:U198"/>
  <sheetViews>
    <sheetView zoomScaleNormal="100" workbookViewId="0">
      <selection activeCell="B20" sqref="B20"/>
    </sheetView>
  </sheetViews>
  <sheetFormatPr baseColWidth="10" defaultColWidth="11.42578125" defaultRowHeight="12"/>
  <cols>
    <col min="1" max="1" width="9.140625" style="3" bestFit="1" customWidth="1"/>
    <col min="2" max="2" width="62.42578125" style="3" customWidth="1"/>
    <col min="3" max="3" width="30.42578125" style="3" bestFit="1" customWidth="1"/>
    <col min="4" max="4" width="26.5703125" style="3" bestFit="1" customWidth="1"/>
    <col min="5" max="5" width="25.42578125" style="3" bestFit="1" customWidth="1"/>
    <col min="6" max="6" width="18.28515625" style="3" bestFit="1" customWidth="1"/>
    <col min="7" max="7" width="16.28515625" style="3" customWidth="1"/>
    <col min="8" max="9" width="15.5703125" style="3" customWidth="1"/>
    <col min="10" max="16384" width="11.42578125" style="3"/>
  </cols>
  <sheetData>
    <row r="1" spans="1:20" ht="25.5">
      <c r="A1" s="22" t="s">
        <v>200</v>
      </c>
      <c r="B1" s="14" t="s">
        <v>60</v>
      </c>
      <c r="C1" s="14" t="s">
        <v>734</v>
      </c>
      <c r="D1" s="14" t="s">
        <v>733</v>
      </c>
      <c r="E1" s="12"/>
      <c r="F1" s="12"/>
      <c r="G1" s="12"/>
      <c r="H1" s="12"/>
      <c r="I1" s="12"/>
      <c r="J1" s="12"/>
      <c r="K1" s="12"/>
      <c r="L1" s="12"/>
      <c r="M1" s="12"/>
      <c r="N1" s="12"/>
      <c r="O1" s="12"/>
      <c r="P1" s="12"/>
      <c r="Q1" s="12"/>
      <c r="R1" s="12"/>
      <c r="S1" s="12"/>
      <c r="T1" s="12"/>
    </row>
    <row r="2" spans="1:20">
      <c r="A2" s="13"/>
    </row>
    <row r="3" spans="1:20">
      <c r="A3" s="13"/>
      <c r="B3" s="3" t="s">
        <v>771</v>
      </c>
      <c r="C3" s="3" t="s">
        <v>201</v>
      </c>
      <c r="D3" s="3">
        <v>21</v>
      </c>
    </row>
    <row r="4" spans="1:20">
      <c r="A4" s="13"/>
      <c r="B4" s="3" t="s">
        <v>772</v>
      </c>
      <c r="C4" s="3" t="s">
        <v>202</v>
      </c>
      <c r="D4" s="3">
        <v>14</v>
      </c>
    </row>
    <row r="5" spans="1:20">
      <c r="A5" s="13"/>
      <c r="B5" s="3" t="s">
        <v>6</v>
      </c>
      <c r="C5" s="3" t="s">
        <v>204</v>
      </c>
      <c r="D5" s="3">
        <v>7</v>
      </c>
    </row>
    <row r="6" spans="1:20">
      <c r="A6" s="13"/>
      <c r="B6" s="3" t="s">
        <v>7</v>
      </c>
      <c r="C6" s="3" t="s">
        <v>204</v>
      </c>
      <c r="D6" s="3">
        <v>7</v>
      </c>
    </row>
    <row r="7" spans="1:20">
      <c r="A7" s="13"/>
      <c r="B7" s="3" t="s">
        <v>8</v>
      </c>
      <c r="C7" s="3" t="s">
        <v>204</v>
      </c>
      <c r="D7" s="3">
        <v>7</v>
      </c>
    </row>
    <row r="8" spans="1:20">
      <c r="A8" s="13"/>
      <c r="B8" s="3" t="s">
        <v>9</v>
      </c>
      <c r="C8" s="3" t="s">
        <v>204</v>
      </c>
      <c r="D8" s="3">
        <v>56</v>
      </c>
    </row>
    <row r="9" spans="1:20">
      <c r="A9" s="13"/>
      <c r="B9" s="3" t="s">
        <v>10</v>
      </c>
      <c r="C9" s="3" t="s">
        <v>204</v>
      </c>
      <c r="D9" s="3">
        <v>14</v>
      </c>
    </row>
    <row r="10" spans="1:20">
      <c r="A10" s="13"/>
      <c r="B10" s="3" t="s">
        <v>11</v>
      </c>
      <c r="C10" s="3" t="s">
        <v>204</v>
      </c>
      <c r="D10" s="3">
        <v>28</v>
      </c>
    </row>
    <row r="11" spans="1:20">
      <c r="A11" s="13"/>
      <c r="B11" s="3" t="s">
        <v>12</v>
      </c>
      <c r="C11" s="3" t="s">
        <v>204</v>
      </c>
      <c r="D11" s="3">
        <v>7</v>
      </c>
    </row>
    <row r="12" spans="1:20">
      <c r="A12" s="13"/>
      <c r="B12" s="3" t="s">
        <v>13</v>
      </c>
      <c r="C12" s="3" t="s">
        <v>204</v>
      </c>
      <c r="D12" s="3">
        <v>1</v>
      </c>
    </row>
    <row r="13" spans="1:20">
      <c r="A13" s="13"/>
      <c r="B13" s="3" t="s">
        <v>14</v>
      </c>
      <c r="C13" s="3" t="s">
        <v>204</v>
      </c>
      <c r="D13" s="3">
        <v>83</v>
      </c>
    </row>
    <row r="14" spans="1:20">
      <c r="A14" s="13"/>
      <c r="B14" s="3" t="s">
        <v>15</v>
      </c>
      <c r="C14" s="3" t="s">
        <v>204</v>
      </c>
      <c r="D14" s="3">
        <v>83</v>
      </c>
    </row>
    <row r="15" spans="1:20">
      <c r="A15" s="13"/>
    </row>
    <row r="16" spans="1:20" s="24" customFormat="1">
      <c r="A16" s="23">
        <v>1.7</v>
      </c>
      <c r="B16" s="24" t="s">
        <v>4</v>
      </c>
    </row>
    <row r="17" spans="1:5" s="24" customFormat="1">
      <c r="A17" s="23"/>
      <c r="C17" s="24" t="s">
        <v>735</v>
      </c>
      <c r="D17" s="24" t="s">
        <v>736</v>
      </c>
    </row>
    <row r="18" spans="1:5" s="24" customFormat="1">
      <c r="A18" s="23"/>
      <c r="B18" s="1" t="s">
        <v>719</v>
      </c>
      <c r="C18" s="1">
        <v>150</v>
      </c>
      <c r="D18" s="1">
        <v>140</v>
      </c>
    </row>
    <row r="19" spans="1:5" s="24" customFormat="1">
      <c r="A19" s="23"/>
      <c r="B19" s="1" t="s">
        <v>720</v>
      </c>
      <c r="C19" s="1">
        <v>175</v>
      </c>
      <c r="D19" s="1">
        <v>155</v>
      </c>
    </row>
    <row r="20" spans="1:5" s="24" customFormat="1">
      <c r="A20" s="23"/>
      <c r="B20" s="1" t="s">
        <v>721</v>
      </c>
      <c r="C20" s="1">
        <v>150</v>
      </c>
      <c r="D20" s="1">
        <v>140</v>
      </c>
    </row>
    <row r="21" spans="1:5" s="24" customFormat="1">
      <c r="A21" s="23"/>
      <c r="B21" s="1" t="s">
        <v>722</v>
      </c>
      <c r="C21" s="1">
        <v>150</v>
      </c>
      <c r="D21" s="1">
        <v>135</v>
      </c>
    </row>
    <row r="22" spans="1:5" s="24" customFormat="1">
      <c r="A22" s="23"/>
      <c r="B22" s="1" t="s">
        <v>723</v>
      </c>
      <c r="C22" s="1">
        <v>140</v>
      </c>
      <c r="D22" s="1">
        <v>130</v>
      </c>
    </row>
    <row r="23" spans="1:5" s="24" customFormat="1">
      <c r="A23" s="23"/>
      <c r="B23" s="1" t="s">
        <v>724</v>
      </c>
      <c r="C23" s="1">
        <v>125</v>
      </c>
      <c r="D23" s="1">
        <v>115</v>
      </c>
    </row>
    <row r="24" spans="1:5" s="24" customFormat="1">
      <c r="A24" s="23"/>
      <c r="B24" s="1" t="s">
        <v>725</v>
      </c>
      <c r="C24" s="1">
        <v>120</v>
      </c>
      <c r="D24" s="1">
        <v>100</v>
      </c>
    </row>
    <row r="25" spans="1:5">
      <c r="A25" s="13"/>
      <c r="B25" s="1" t="s">
        <v>726</v>
      </c>
      <c r="C25" s="1">
        <v>115</v>
      </c>
      <c r="D25" s="1">
        <v>95</v>
      </c>
      <c r="E25" s="1"/>
    </row>
    <row r="26" spans="1:5">
      <c r="A26" s="13"/>
      <c r="B26" s="1" t="s">
        <v>727</v>
      </c>
      <c r="C26" s="1">
        <v>110</v>
      </c>
      <c r="D26" s="1">
        <v>80</v>
      </c>
      <c r="E26" s="1"/>
    </row>
    <row r="27" spans="1:5">
      <c r="A27" s="13"/>
      <c r="B27" s="1" t="s">
        <v>728</v>
      </c>
      <c r="C27" s="1">
        <v>105</v>
      </c>
      <c r="D27" s="1">
        <v>80</v>
      </c>
      <c r="E27" s="1"/>
    </row>
    <row r="28" spans="1:5">
      <c r="A28" s="13"/>
      <c r="B28" s="1" t="s">
        <v>729</v>
      </c>
      <c r="C28" s="1">
        <v>90</v>
      </c>
      <c r="D28" s="1">
        <v>65</v>
      </c>
      <c r="E28" s="1"/>
    </row>
    <row r="29" spans="1:5">
      <c r="A29" s="13"/>
      <c r="B29" s="1" t="s">
        <v>730</v>
      </c>
      <c r="C29" s="1">
        <v>55</v>
      </c>
      <c r="D29" s="1">
        <v>35</v>
      </c>
      <c r="E29" s="1"/>
    </row>
    <row r="30" spans="1:5">
      <c r="A30" s="13"/>
      <c r="B30" s="1" t="s">
        <v>791</v>
      </c>
      <c r="C30" s="1">
        <v>55</v>
      </c>
      <c r="D30" s="1">
        <v>35</v>
      </c>
      <c r="E30" s="1"/>
    </row>
    <row r="31" spans="1:5">
      <c r="A31" s="13"/>
      <c r="B31" s="1" t="s">
        <v>776</v>
      </c>
      <c r="C31" s="1">
        <v>45</v>
      </c>
      <c r="D31" s="1">
        <v>30</v>
      </c>
      <c r="E31" s="1"/>
    </row>
    <row r="32" spans="1:5">
      <c r="A32" s="13"/>
    </row>
    <row r="33" spans="1:2" s="24" customFormat="1">
      <c r="A33" s="25" t="s">
        <v>538</v>
      </c>
      <c r="B33" s="26" t="s">
        <v>87</v>
      </c>
    </row>
    <row r="34" spans="1:2">
      <c r="A34" s="13"/>
    </row>
    <row r="35" spans="1:2">
      <c r="A35" s="13"/>
      <c r="B35" s="3" t="s">
        <v>66</v>
      </c>
    </row>
    <row r="36" spans="1:2">
      <c r="A36" s="13"/>
      <c r="B36" s="3" t="s">
        <v>67</v>
      </c>
    </row>
    <row r="37" spans="1:2">
      <c r="A37" s="13"/>
    </row>
    <row r="38" spans="1:2" s="24" customFormat="1">
      <c r="A38" s="23">
        <v>1.9</v>
      </c>
      <c r="B38" s="24" t="s">
        <v>350</v>
      </c>
    </row>
    <row r="39" spans="1:2">
      <c r="A39" s="13"/>
    </row>
    <row r="40" spans="1:2">
      <c r="A40" s="13"/>
      <c r="B40" s="3" t="s">
        <v>351</v>
      </c>
    </row>
    <row r="41" spans="1:2">
      <c r="A41" s="13"/>
      <c r="B41" s="3" t="s">
        <v>352</v>
      </c>
    </row>
    <row r="42" spans="1:2">
      <c r="A42" s="13"/>
      <c r="B42" s="3" t="s">
        <v>353</v>
      </c>
    </row>
    <row r="43" spans="1:2">
      <c r="A43" s="13"/>
      <c r="B43" s="3" t="s">
        <v>354</v>
      </c>
    </row>
    <row r="44" spans="1:2">
      <c r="A44" s="13"/>
      <c r="B44" s="3" t="s">
        <v>355</v>
      </c>
    </row>
    <row r="45" spans="1:2">
      <c r="A45" s="13"/>
      <c r="B45" s="3" t="s">
        <v>356</v>
      </c>
    </row>
    <row r="46" spans="1:2">
      <c r="A46" s="13"/>
      <c r="B46" s="3" t="s">
        <v>357</v>
      </c>
    </row>
    <row r="48" spans="1:2">
      <c r="A48" s="325">
        <v>1.1100000000000001</v>
      </c>
      <c r="B48" s="24" t="s">
        <v>424</v>
      </c>
    </row>
    <row r="49" spans="1:3">
      <c r="A49" s="13"/>
    </row>
    <row r="50" spans="1:3">
      <c r="A50" s="13"/>
      <c r="B50" s="3" t="s">
        <v>407</v>
      </c>
    </row>
    <row r="51" spans="1:3">
      <c r="A51" s="13"/>
      <c r="B51" s="3" t="s">
        <v>418</v>
      </c>
    </row>
    <row r="52" spans="1:3" s="24" customFormat="1"/>
    <row r="53" spans="1:3" s="49" customFormat="1" ht="12" hidden="1" customHeight="1">
      <c r="A53" s="47">
        <v>1.8</v>
      </c>
      <c r="B53" s="48" t="s">
        <v>16</v>
      </c>
    </row>
    <row r="54" spans="1:3" s="49" customFormat="1" ht="12" hidden="1" customHeight="1">
      <c r="A54" s="50"/>
    </row>
    <row r="55" spans="1:3" s="49" customFormat="1" ht="12" hidden="1" customHeight="1">
      <c r="A55" s="50"/>
      <c r="B55" s="49" t="s">
        <v>17</v>
      </c>
    </row>
    <row r="56" spans="1:3" s="49" customFormat="1" ht="12" hidden="1" customHeight="1">
      <c r="A56" s="50"/>
      <c r="B56" s="49" t="s">
        <v>2</v>
      </c>
    </row>
    <row r="57" spans="1:3" ht="12" hidden="1" customHeight="1">
      <c r="A57" s="13"/>
    </row>
    <row r="58" spans="1:3" s="24" customFormat="1">
      <c r="B58" s="24" t="s">
        <v>39</v>
      </c>
    </row>
    <row r="59" spans="1:3" s="24" customFormat="1"/>
    <row r="60" spans="1:3" s="24" customFormat="1">
      <c r="B60" s="3" t="s">
        <v>42</v>
      </c>
    </row>
    <row r="61" spans="1:3">
      <c r="A61" s="13"/>
    </row>
    <row r="62" spans="1:3">
      <c r="A62" s="13"/>
      <c r="B62" s="3" t="s">
        <v>209</v>
      </c>
      <c r="C62" s="3" t="str">
        <f>IFERROR(INDEX($B$62:B$68,SMALL(IF(IF($B$62:B$68="",FALSE,TRUE),ROW(A$1:A$6),""),ROW(B62)-ROW(B$61))),"")</f>
        <v>WP-Luft (a)</v>
      </c>
    </row>
    <row r="63" spans="1:3">
      <c r="A63" s="13"/>
      <c r="B63" s="3" t="s">
        <v>208</v>
      </c>
      <c r="C63" s="3" t="str">
        <f t="array" ref="C63">IFERROR(INDEX($B$62:B$68,SMALL(IF(IF($B$62:B$68="",FALSE,TRUE),ROW(A$1:A$6),""),ROW(B63)-ROW(B$61))),"")</f>
        <v>WP-Luft (i)</v>
      </c>
    </row>
    <row r="64" spans="1:3">
      <c r="A64" s="13"/>
      <c r="B64" s="3" t="str">
        <f>IF(Wärmeerzeugerleistung&lt;191,"","WP-Wasser")</f>
        <v/>
      </c>
      <c r="C64" s="3" t="str">
        <f t="array" ref="C64">IFERROR(INDEX($B$62:B$68,SMALL(IF(IF($B$62:B$68="",FALSE,TRUE),ROW(A$1:A$6),""),ROW(B64)-ROW(B$61))),"")</f>
        <v>Holz-Pellets</v>
      </c>
    </row>
    <row r="65" spans="1:21">
      <c r="A65" s="13"/>
    </row>
    <row r="66" spans="1:21">
      <c r="A66" s="13"/>
      <c r="B66" s="3" t="s">
        <v>40</v>
      </c>
      <c r="C66" s="3" t="str">
        <f t="array" ref="C66">IFERROR(INDEX($B$62:B$68,SMALL(IF(IF($B$62:B$68="",FALSE,TRUE),ROW(A$1:A$6),""),ROW(B66)-ROW(B$61))),"")</f>
        <v/>
      </c>
    </row>
    <row r="67" spans="1:21">
      <c r="A67" s="13"/>
      <c r="B67" s="3" t="s">
        <v>744</v>
      </c>
    </row>
    <row r="68" spans="1:21">
      <c r="A68" s="13"/>
      <c r="B68" s="3" t="str">
        <f>IF(Wärmeerzeugerleistung&lt;29,"","Holz-Schnitzel")</f>
        <v/>
      </c>
      <c r="C68" s="3" t="str">
        <f t="array" ref="C68">IFERROR(INDEX($B$62:B$68,SMALL(IF(IF($B$62:B$68="",FALSE,TRUE),ROW(A$1:A$6),""),ROW(B68)-ROW(B$61))),"")</f>
        <v/>
      </c>
    </row>
    <row r="69" spans="1:21">
      <c r="A69" s="13"/>
    </row>
    <row r="70" spans="1:21">
      <c r="A70" s="13"/>
      <c r="B70" s="3" t="s">
        <v>44</v>
      </c>
    </row>
    <row r="71" spans="1:21">
      <c r="A71" s="13"/>
    </row>
    <row r="72" spans="1:21" s="24" customFormat="1" ht="39" customHeight="1">
      <c r="A72" s="22" t="s">
        <v>79</v>
      </c>
      <c r="B72" s="14" t="s">
        <v>537</v>
      </c>
      <c r="C72" s="34" t="s">
        <v>709</v>
      </c>
      <c r="D72" s="34" t="s">
        <v>58</v>
      </c>
      <c r="E72" s="34" t="s">
        <v>171</v>
      </c>
      <c r="F72" s="14" t="s">
        <v>59</v>
      </c>
      <c r="G72" s="14" t="s">
        <v>80</v>
      </c>
      <c r="H72" s="14"/>
      <c r="I72" s="14"/>
      <c r="J72" s="14"/>
      <c r="K72" s="14"/>
      <c r="L72" s="14"/>
      <c r="M72" s="14"/>
      <c r="N72" s="14"/>
      <c r="O72" s="14"/>
      <c r="P72" s="14"/>
      <c r="Q72" s="14"/>
      <c r="R72" s="14"/>
      <c r="S72" s="14"/>
      <c r="T72" s="14"/>
      <c r="U72" s="14"/>
    </row>
    <row r="73" spans="1:21">
      <c r="A73" s="13"/>
      <c r="B73" s="3" t="s">
        <v>423</v>
      </c>
      <c r="C73" s="1">
        <f t="shared" ref="C73:C80" si="0">VLOOKUP($B73,Nutzungsgrad_Tabelle,4,FALSE)</f>
        <v>1</v>
      </c>
      <c r="D73" s="1">
        <f t="shared" ref="D73:D81" si="1">VLOOKUP($B73,Nutzungsgrad_Tabelle,5,FALSE)</f>
        <v>1</v>
      </c>
      <c r="E73" s="1">
        <f t="shared" ref="E73:E81" si="2">VLOOKUP(B73,Nutzungsgrad_Tabelle,6,FALSE)</f>
        <v>1</v>
      </c>
      <c r="F73" s="5" t="e">
        <f>IF(Wärmenetz="Fernwärme Luzern AG",'2.3 Energiepreise'!D72,'2.3 Energiepreise'!D77)</f>
        <v>#N/A</v>
      </c>
      <c r="G73" s="3">
        <v>1</v>
      </c>
    </row>
    <row r="74" spans="1:21">
      <c r="A74" s="13"/>
      <c r="B74" s="3" t="s">
        <v>209</v>
      </c>
      <c r="C74" s="1">
        <f t="shared" si="0"/>
        <v>2.23</v>
      </c>
      <c r="D74" s="1">
        <f t="shared" si="1"/>
        <v>3.3</v>
      </c>
      <c r="E74" s="1">
        <f t="shared" si="2"/>
        <v>4.29</v>
      </c>
      <c r="F74" s="29" t="e">
        <f>VLOOKUP(IF(Berechnung!O14="",Berechnung!M14,Berechnung!O14),Strompreis_ref,3,FALSE)</f>
        <v>#N/A</v>
      </c>
      <c r="G74" s="3">
        <v>1</v>
      </c>
    </row>
    <row r="75" spans="1:21">
      <c r="A75" s="13"/>
      <c r="B75" s="3" t="s">
        <v>208</v>
      </c>
      <c r="C75" s="1">
        <f t="shared" si="0"/>
        <v>2.23</v>
      </c>
      <c r="D75" s="1">
        <f t="shared" si="1"/>
        <v>3.3</v>
      </c>
      <c r="E75" s="1">
        <f t="shared" si="2"/>
        <v>4.29</v>
      </c>
      <c r="F75" s="29" t="e">
        <f>VLOOKUP(IF(Berechnung!O14="",Berechnung!M14,Berechnung!O14),Strompreis_ref,3,FALSE)</f>
        <v>#N/A</v>
      </c>
      <c r="G75" s="3">
        <v>1</v>
      </c>
    </row>
    <row r="76" spans="1:21">
      <c r="A76" s="13"/>
      <c r="B76" s="3" t="s">
        <v>42</v>
      </c>
      <c r="C76" s="1">
        <f t="shared" si="0"/>
        <v>3.02</v>
      </c>
      <c r="D76" s="1">
        <f t="shared" si="1"/>
        <v>4.3</v>
      </c>
      <c r="E76" s="1">
        <f t="shared" si="2"/>
        <v>5.63</v>
      </c>
      <c r="F76" s="29" t="e">
        <f>VLOOKUP(IF(Berechnung!O14="",Berechnung!M14,Berechnung!O14),Strompreis_ref,3,FALSE)</f>
        <v>#N/A</v>
      </c>
      <c r="G76" s="3">
        <v>1</v>
      </c>
    </row>
    <row r="77" spans="1:21">
      <c r="A77" s="13"/>
      <c r="B77" s="3" t="s">
        <v>43</v>
      </c>
      <c r="C77" s="1">
        <f t="shared" si="0"/>
        <v>3.02</v>
      </c>
      <c r="D77" s="1">
        <f t="shared" si="1"/>
        <v>4.3</v>
      </c>
      <c r="E77" s="1">
        <f t="shared" si="2"/>
        <v>5.63</v>
      </c>
      <c r="F77" s="29" t="e">
        <f>VLOOKUP(IF(Berechnung!O14="",Berechnung!M14,Berechnung!O14),Strompreis_ref,3,FALSE)</f>
        <v>#N/A</v>
      </c>
      <c r="G77" s="3">
        <v>1</v>
      </c>
    </row>
    <row r="78" spans="1:21">
      <c r="A78" s="13"/>
      <c r="B78" s="3" t="s">
        <v>40</v>
      </c>
      <c r="C78" s="1">
        <f t="shared" si="0"/>
        <v>0.85</v>
      </c>
      <c r="D78" s="1">
        <f t="shared" si="1"/>
        <v>0.85</v>
      </c>
      <c r="E78" s="1">
        <f t="shared" si="2"/>
        <v>0.9</v>
      </c>
      <c r="F78" s="29">
        <f>'2.3 Energiepreise'!D52</f>
        <v>10.40901036226207</v>
      </c>
      <c r="G78" s="3">
        <v>3</v>
      </c>
    </row>
    <row r="79" spans="1:21">
      <c r="A79" s="13"/>
      <c r="B79" s="3" t="s">
        <v>41</v>
      </c>
      <c r="C79" s="1">
        <f t="shared" si="0"/>
        <v>0.75</v>
      </c>
      <c r="D79" s="1">
        <f t="shared" si="1"/>
        <v>0.75</v>
      </c>
      <c r="E79" s="1">
        <f t="shared" si="2"/>
        <v>0.9</v>
      </c>
      <c r="F79" s="29">
        <f>'2.3 Energiepreise'!D57</f>
        <v>7.1568200346921067</v>
      </c>
      <c r="G79" s="3">
        <v>3</v>
      </c>
    </row>
    <row r="80" spans="1:21">
      <c r="A80" s="13"/>
      <c r="B80" s="3" t="s">
        <v>19</v>
      </c>
      <c r="C80" s="1">
        <f t="shared" si="0"/>
        <v>0.85</v>
      </c>
      <c r="D80" s="1">
        <f t="shared" si="1"/>
        <v>0.85</v>
      </c>
      <c r="E80" s="1">
        <f t="shared" si="2"/>
        <v>0.95</v>
      </c>
      <c r="F80" s="5">
        <f>'2.3 Energiepreise'!D64</f>
        <v>11.304526606342623</v>
      </c>
      <c r="G80" s="3">
        <v>2</v>
      </c>
    </row>
    <row r="81" spans="1:7">
      <c r="A81" s="13"/>
      <c r="B81" s="3" t="s">
        <v>44</v>
      </c>
      <c r="C81" s="1">
        <f>VLOOKUP($B81,Nutzungsgrad_Tabelle,4,FALSE)</f>
        <v>0.85</v>
      </c>
      <c r="D81" s="1">
        <f t="shared" si="1"/>
        <v>0.85</v>
      </c>
      <c r="E81" s="1">
        <f t="shared" si="2"/>
        <v>0.95</v>
      </c>
      <c r="F81" s="29" t="e">
        <f>'2.3 Energiepreise'!D68*100</f>
        <v>#N/A</v>
      </c>
      <c r="G81" s="3">
        <v>2</v>
      </c>
    </row>
    <row r="82" spans="1:7">
      <c r="A82" s="13"/>
      <c r="D82" s="5"/>
    </row>
    <row r="83" spans="1:7">
      <c r="A83" s="23">
        <v>2.4</v>
      </c>
      <c r="B83" s="24" t="s">
        <v>92</v>
      </c>
      <c r="C83" s="1"/>
      <c r="D83" s="5"/>
    </row>
    <row r="84" spans="1:7">
      <c r="A84" s="23"/>
      <c r="B84" s="3" t="s">
        <v>407</v>
      </c>
      <c r="C84" s="29" t="e">
        <f>'2.3 Energiepreise'!D72</f>
        <v>#N/A</v>
      </c>
      <c r="D84" s="5"/>
    </row>
    <row r="85" spans="1:7">
      <c r="A85" s="23"/>
      <c r="B85" s="3" t="s">
        <v>418</v>
      </c>
      <c r="C85" s="29" t="e">
        <f>'2.3 Energiepreise'!D77</f>
        <v>#N/A</v>
      </c>
      <c r="D85" s="5"/>
    </row>
    <row r="86" spans="1:7">
      <c r="A86" s="13"/>
    </row>
    <row r="87" spans="1:7" ht="60">
      <c r="A87" s="365" t="s">
        <v>684</v>
      </c>
      <c r="B87" s="24" t="s">
        <v>189</v>
      </c>
      <c r="C87" s="26" t="s">
        <v>295</v>
      </c>
      <c r="D87" s="26" t="s">
        <v>294</v>
      </c>
      <c r="E87" s="26" t="s">
        <v>683</v>
      </c>
      <c r="F87" s="26" t="s">
        <v>303</v>
      </c>
    </row>
    <row r="88" spans="1:7">
      <c r="A88" s="13"/>
      <c r="B88" s="3" t="s">
        <v>423</v>
      </c>
      <c r="C88" s="332">
        <f>IF(Wärmeerzeugerleistung&lt;8,INDEX(Fernwärme_Invest_ref,1,3),IF(Wärmeerzeugerleistung&lt;29,INDEX(Fernwärme_Invest_ref,2,3),IF(Wärmeerzeugerleistung&lt;69,INDEX(Fernwärme_Invest_ref,3,3),IF(Wärmeerzeugerleistung&lt;191,INDEX(Fernwärme_Invest_ref,4,3),IF(Wärmeerzeugerleistung&gt;190,INDEX(Fernwärme_Invest_ref,5,3))))))+IF(Wärmeerzeugerleistung&lt;8,INDEX(Fernwärme_Invest_ref,1,6),IF(Wärmeerzeugerleistung&lt;29,INDEX(Fernwärme_Invest_ref,2,6),IF(Wärmeerzeugerleistung&lt;69,INDEX(Fernwärme_Invest_ref,3,6),IF(Wärmeerzeugerleistung&lt;191,INDEX(Fernwärme_Invest_ref,4,6),IF(Wärmeerzeugerleistung&gt;190,INDEX(Fernwärme_Invest_ref,5,6))))))</f>
        <v>29400</v>
      </c>
      <c r="D88" s="332">
        <f>IF(Wärmeerzeugerleistung&lt;8,INDEX(Fernwärme_Invest_ref,1,4),IF(Wärmeerzeugerleistung&lt;29,INDEX(Fernwärme_Invest_ref,2,4),IF(Wärmeerzeugerleistung&lt;69,INDEX(Fernwärme_Invest_ref,3,4),IF(Wärmeerzeugerleistung&lt;191,INDEX(Fernwärme_Invest_ref,4,4),IF(Wärmeerzeugerleistung&gt;190,INDEX(Fernwärme_Invest_ref,5,4))))))</f>
        <v>0</v>
      </c>
      <c r="E88" s="332">
        <f>IF(Wärmeerzeugerleistung&lt;8,INDEX(Fernwärme_Invest_ref,1,5),IF(Wärmeerzeugerleistung&lt;29,INDEX(Fernwärme_Invest_ref,2,5),IF(Wärmeerzeugerleistung&lt;69,INDEX(Fernwärme_Invest_ref,3,5),IF(Wärmeerzeugerleistung&lt;191,INDEX(Fernwärme_Invest_ref,4,5),IF(Wärmeerzeugerleistung&gt;190,INDEX(Fernwärme_Invest_ref,5,5))))))</f>
        <v>18100</v>
      </c>
      <c r="F88" s="1">
        <f>0</f>
        <v>0</v>
      </c>
      <c r="G88" s="6"/>
    </row>
    <row r="89" spans="1:7">
      <c r="A89" s="13"/>
      <c r="B89" s="3" t="s">
        <v>209</v>
      </c>
      <c r="C89" s="417">
        <f>IF(Wärmeerzeugerleistung&lt;8,INDEX(WPLuft_Invest_ref,1,3),IF(Wärmeerzeugerleistung&lt;29,INDEX(WPLuft_Invest_ref,2,3),IF(Wärmeerzeugerleistung&lt;69,INDEX(WPLuft_Invest_ref,3,3),IF(Wärmeerzeugerleistung&lt;191,INDEX(WPLuft_Invest_ref,4,3),IF(Wärmeerzeugerleistung&gt;190,INDEX(WPLuft_Invest_ref,5,3))))))</f>
        <v>28600</v>
      </c>
      <c r="D89" s="417">
        <f>IF(Wärmeerzeugerleistung&lt;8,INDEX(WPLuft_Invest_ref,1,4),IF(Wärmeerzeugerleistung&lt;29,INDEX(WPLuft_Invest_ref,2,4),IF(Wärmeerzeugerleistung&lt;69,INDEX(WPLuft_Invest_ref,3,4),IF(Wärmeerzeugerleistung&lt;191,INDEX(WPLuft_Invest_ref,4,4),IF(Wärmeerzeugerleistung&gt;190,INDEX(WPLuft_Invest_ref,5,4))))))</f>
        <v>2800</v>
      </c>
      <c r="E89" s="417">
        <f>IF(Wärmeerzeugerleistung&lt;8,INDEX(WPLuft_Invest_ref,1,5),IF(Wärmeerzeugerleistung&lt;29,INDEX(WPLuft_Invest_ref,2,5),IF(Wärmeerzeugerleistung&lt;69,INDEX(WPLuft_Invest_ref,3,5),IF(Wärmeerzeugerleistung&lt;191,INDEX(WPLuft_Invest_ref,4,5),IF(Wärmeerzeugerleistung&gt;190,INDEX(WPLuft_Invest_ref,5,5))))))</f>
        <v>14900</v>
      </c>
      <c r="F89" s="3">
        <f>IF(Wärmeerzeugerleistung&lt;8,INDEX(WPLuft_Invest_ref,1,6),IF(Wärmeerzeugerleistung&lt;29,INDEX(WPLuft_Invest_ref,2,6),IF(Wärmeerzeugerleistung&lt;69,INDEX(WPLuft_Invest_ref,3,6),IF(Wärmeerzeugerleistung&lt;191,INDEX(WPLuft_Invest_ref,4,6),IF(Wärmeerzeugerleistung&gt;190,INDEX(WPLuft_Invest_ref,5,6))))))</f>
        <v>0</v>
      </c>
    </row>
    <row r="90" spans="1:7">
      <c r="A90" s="13"/>
      <c r="B90" s="3" t="s">
        <v>208</v>
      </c>
      <c r="C90" s="332">
        <f>IF(Wärmeerzeugerleistung&lt;8,INDEX(WPLufti_Invest_ref,1,3),IF(Wärmeerzeugerleistung&lt;29,INDEX(WPLufti_Invest_ref,2,3),IF(Wärmeerzeugerleistung&lt;69,INDEX(WPLufti_Invest_ref,3,3),IF(Wärmeerzeugerleistung&lt;191,INDEX(WPLufti_Invest_ref,4,3),IF(Wärmeerzeugerleistung&gt;190,INDEX(WPLufti_Invest_ref,5,3))))))</f>
        <v>35600</v>
      </c>
      <c r="D90" s="332">
        <f>IF(Wärmeerzeugerleistung&lt;8,INDEX(WPLufti_Invest_ref,1,4),IF(Wärmeerzeugerleistung&lt;29,INDEX(WPLufti_Invest_ref,2,4),IF(Wärmeerzeugerleistung&lt;69,INDEX(WPLufti_Invest_ref,3,4),IF(Wärmeerzeugerleistung&lt;191,INDEX(WPLufti_Invest_ref,4,4),IF(Wärmeerzeugerleistung&gt;190,INDEX(WPLufti_Invest_ref,5,4))))))</f>
        <v>9900</v>
      </c>
      <c r="E90" s="332">
        <f>IF(Wärmeerzeugerleistung&lt;8,INDEX(WPLufti_Invest_ref,1,5),IF(Wärmeerzeugerleistung&lt;29,INDEX(WPLufti_Invest_ref,2,5),IF(Wärmeerzeugerleistung&lt;69,INDEX(WPLufti_Invest_ref,3,5),IF(Wärmeerzeugerleistung&lt;191,INDEX(WPLufti_Invest_ref,4,5),IF(Wärmeerzeugerleistung&gt;190,INDEX(WPLufti_Invest_ref,5,5))))))</f>
        <v>17500</v>
      </c>
      <c r="F90" s="1">
        <f>IF(Wärmeerzeugerleistung&lt;8,INDEX(WPLufti_Invest_ref,1,6),IF(Wärmeerzeugerleistung&lt;29,INDEX(WPLufti_Invest_ref,2,6),IF(Wärmeerzeugerleistung&lt;69,INDEX(WPLufti_Invest_ref,3,6),IF(Wärmeerzeugerleistung&lt;191,INDEX(WPLufti_Invest_ref,4,6),IF(Wärmeerzeugerleistung&gt;190,INDEX(WPLufti_Invest_ref,5,6))))))</f>
        <v>0</v>
      </c>
    </row>
    <row r="91" spans="1:7">
      <c r="A91" s="13"/>
      <c r="B91" s="3" t="s">
        <v>42</v>
      </c>
      <c r="C91" s="332">
        <f>IF(Wärmeerzeugerleistung&lt;8,INDEX(WPSonde_Invest_ref,1,3),IF(Wärmeerzeugerleistung&lt;29,INDEX(WPSonde_Invest_ref,2,3),IF(Wärmeerzeugerleistung&lt;69,INDEX(WPSonde_Invest_ref,3,3),IF(Wärmeerzeugerleistung&lt;191,INDEX(WPSonde_Invest_ref,4,3),IF(Wärmeerzeugerleistung&gt;190,INDEX(WPSonde_Invest_ref,5,3))))))</f>
        <v>29400</v>
      </c>
      <c r="D91" s="332">
        <f>IF(Wärmeerzeugerleistung&lt;8,INDEX(WPSonde_Invest_ref,1,4),IF(Wärmeerzeugerleistung&lt;29,INDEX(WPSonde_Invest_ref,2,4),IF(Wärmeerzeugerleistung&lt;69,INDEX(WPSonde_Invest_ref,3,4),IF(Wärmeerzeugerleistung&lt;191,INDEX(WPSonde_Invest_ref,4,4),IF(Wärmeerzeugerleistung&gt;190,INDEX(WPSonde_Invest_ref,5,4))))))</f>
        <v>1100</v>
      </c>
      <c r="E91" s="332">
        <f>IF(Wärmeerzeugerleistung&lt;8,INDEX(WPSonde_Invest_ref,1,5),IF(Wärmeerzeugerleistung&lt;29,INDEX(WPSonde_Invest_ref,2,5),IF(Wärmeerzeugerleistung&lt;69,INDEX(WPSonde_Invest_ref,3,5),IF(Wärmeerzeugerleistung&lt;191,INDEX(WPSonde_Invest_ref,4,5),IF(Wärmeerzeugerleistung&gt;190,INDEX(WPSonde_Invest_ref,5,5))))))</f>
        <v>18100</v>
      </c>
      <c r="F91" s="1">
        <f>IF(Wärmeerzeugerleistung&lt;8,INDEX(WPSonde_Invest_ref,1,6),IF(Wärmeerzeugerleistung&lt;29,INDEX(WPSonde_Invest_ref,2,6),IF(Wärmeerzeugerleistung&lt;69,INDEX(WPSonde_Invest_ref,3,6),IF(Wärmeerzeugerleistung&lt;191,INDEX(WPSonde_Invest_ref,4,6),IF(Wärmeerzeugerleistung&gt;190,INDEX(WPSonde_Invest_ref,5,6))))))</f>
        <v>14400</v>
      </c>
    </row>
    <row r="92" spans="1:7">
      <c r="A92" s="13"/>
      <c r="B92" s="3" t="s">
        <v>43</v>
      </c>
      <c r="C92" s="332" t="str">
        <f>IF(Wärmeerzeugerleistung&lt;8,INDEX(WPWasser_Invest_ref,1,3),IF(Wärmeerzeugerleistung&lt;29,INDEX(WPWasser_Invest_ref,2,3),IF(Wärmeerzeugerleistung&lt;69,INDEX(WPWasser_Invest_ref,3,3),IF(Wärmeerzeugerleistung&lt;191,INDEX(WPWasser_Invest_ref,4,3),IF(Wärmeerzeugerleistung&gt;190,INDEX(WPWasser_Invest_ref,5,3))))))</f>
        <v>K.A.</v>
      </c>
      <c r="D92" s="332" t="str">
        <f>IF(Wärmeerzeugerleistung&lt;8,INDEX(WPWasser_Invest_ref,1,4),IF(Wärmeerzeugerleistung&lt;29,INDEX(WPWasser_Invest_ref,2,4),IF(Wärmeerzeugerleistung&lt;69,INDEX(WPWasser_Invest_ref,3,4),IF(Wärmeerzeugerleistung&lt;191,INDEX(WPWasser_Invest_ref,4,4),IF(Wärmeerzeugerleistung&gt;190,INDEX(WPWasser_Invest_ref,5,4))))))</f>
        <v>K.A.</v>
      </c>
      <c r="E92" s="332" t="str">
        <f>IF(Wärmeerzeugerleistung&lt;8,INDEX(WPWasser_Invest_ref,1,5),IF(Wärmeerzeugerleistung&lt;29,INDEX(WPWasser_Invest_ref,2,5),IF(Wärmeerzeugerleistung&lt;69,INDEX(WPWasser_Invest_ref,3,5),IF(Wärmeerzeugerleistung&lt;191,INDEX(WPWasser_Invest_ref,4,5),IF(Wärmeerzeugerleistung&gt;190,INDEX(WPWasser_Invest_ref,5,5))))))</f>
        <v>K.A.</v>
      </c>
      <c r="F92" s="1">
        <f>ROUND(IF(Wärmeerzeugerleistung&lt;8,INDEX(WPWasser_Invest_ref,1,6),IF(Wärmeerzeugerleistung&lt;29,INDEX(WPWasser_Invest_ref,2,6),IF(Wärmeerzeugerleistung&lt;69,INDEX(WPWasser_Invest_ref,3,6),IF(Wärmeerzeugerleistung&lt;191,INDEX(WPWasser_Invest_ref,4,6),IF(Wärmeerzeugerleistung&gt;190,INDEX(WPWasser_Invest_ref,5,6)))))),-3)</f>
        <v>0</v>
      </c>
    </row>
    <row r="93" spans="1:7">
      <c r="A93" s="13"/>
      <c r="B93" s="3" t="s">
        <v>40</v>
      </c>
      <c r="C93" s="332">
        <f>IF(Wärmeerzeugerleistung&lt;8,INDEX(Pellets_Invest_ref,1,3),IF(Wärmeerzeugerleistung&lt;29,INDEX(Pellets_Invest_ref,2,3),IF(Wärmeerzeugerleistung&lt;69,INDEX(Pellets_Invest_ref,3,3),IF(Wärmeerzeugerleistung&lt;191,INDEX(Pellets_Invest_ref,4,3),IF(Wärmeerzeugerleistung&gt;190,INDEX(Pellets_Invest_ref,5,3))))))</f>
        <v>35200</v>
      </c>
      <c r="D93" s="332">
        <f>IF(Wärmeerzeugerleistung&lt;8,INDEX(Pellets_Invest_ref,1,4),IF(Wärmeerzeugerleistung&lt;29,INDEX(Pellets_Invest_ref,2,4),IF(Wärmeerzeugerleistung&lt;69,INDEX(Pellets_Invest_ref,3,4),IF(Wärmeerzeugerleistung&lt;191,INDEX(Pellets_Invest_ref,4,4),IF(Wärmeerzeugerleistung&gt;190,INDEX(Pellets_Invest_ref,5,4))))))</f>
        <v>2200</v>
      </c>
      <c r="E93" s="332">
        <f>IF(Wärmeerzeugerleistung&lt;8,INDEX(Pellets_Invest_ref,1,5),IF(Wärmeerzeugerleistung&lt;29,INDEX(Pellets_Invest_ref,2,5),IF(Wärmeerzeugerleistung&lt;69,INDEX(Pellets_Invest_ref,3,5),IF(Wärmeerzeugerleistung&lt;191,INDEX(Pellets_Invest_ref,4,5),IF(Wärmeerzeugerleistung&gt;190,INDEX(Pellets_Invest_ref,5,5))))))</f>
        <v>17300</v>
      </c>
      <c r="F93" s="1">
        <v>0</v>
      </c>
    </row>
    <row r="94" spans="1:7">
      <c r="A94" s="13"/>
      <c r="B94" s="3" t="s">
        <v>41</v>
      </c>
      <c r="C94" s="332" t="str">
        <f>IF(Wärmeerzeugerleistung&lt;8,INDEX(Schnitzel_Invest_ref,1,3),IF(Wärmeerzeugerleistung&lt;29,INDEX(Schnitzel_Invest_ref,2,3),IF(Wärmeerzeugerleistung&lt;69,INDEX(Schnitzel_Invest_ref,3,3),IF(Wärmeerzeugerleistung&lt;191,INDEX(Schnitzel_Invest_ref,4,3),IF(Wärmeerzeugerleistung&gt;190,INDEX(Schnitzel_Invest_ref,5,3))))))</f>
        <v>K.A.</v>
      </c>
      <c r="D94" s="332" t="str">
        <f>IF(Wärmeerzeugerleistung&lt;8,INDEX(Schnitzel_Invest_ref,1,4),IF(Wärmeerzeugerleistung&lt;29,INDEX(Schnitzel_Invest_ref,2,4),IF(Wärmeerzeugerleistung&lt;69,INDEX(Schnitzel_Invest_ref,3,4),IF(Wärmeerzeugerleistung&lt;191,INDEX(Schnitzel_Invest_ref,4,4),IF(Wärmeerzeugerleistung&gt;190,INDEX(Schnitzel_Invest_ref,5,4))))))</f>
        <v>K.A.</v>
      </c>
      <c r="E94" s="332" t="str">
        <f>IF(Wärmeerzeugerleistung&lt;8,INDEX(Schnitzel_Invest_ref,1,5),IF(Wärmeerzeugerleistung&lt;29,INDEX(Schnitzel_Invest_ref,2,5),IF(Wärmeerzeugerleistung&lt;69,INDEX(Schnitzel_Invest_ref,3,5),IF(Wärmeerzeugerleistung&lt;191,INDEX(Schnitzel_Invest_ref,4,5),IF(Wärmeerzeugerleistung&gt;190,INDEX(Schnitzel_Invest_ref,5,5))))))</f>
        <v>K.A.</v>
      </c>
      <c r="F94" s="1">
        <v>0</v>
      </c>
    </row>
    <row r="95" spans="1:7">
      <c r="A95" s="13"/>
      <c r="B95" s="3" t="s">
        <v>19</v>
      </c>
      <c r="C95" s="332">
        <f>IF(Wärmeerzeugerleistung&lt;8,INDEX(Oelheizung_Invest_ref,1,3),IF(Wärmeerzeugerleistung&lt;29,INDEX(Oelheizung_Invest_ref,2,3),IF(Wärmeerzeugerleistung&lt;69,INDEX(Oelheizung_Invest_ref,3,3),IF(Wärmeerzeugerleistung&lt;191,INDEX(Oelheizung_Invest_ref,4,3),IF(Wärmeerzeugerleistung&gt;190,INDEX(Oelheizung_Invest_ref,5,3))))))</f>
        <v>36000</v>
      </c>
      <c r="D95" s="332">
        <f>IF(Wärmeerzeugerleistung&lt;8,INDEX(Oelheizung_Invest_ref,1,4),IF(Wärmeerzeugerleistung&lt;29,INDEX(Oelheizung_Invest_ref,2,4),IF(Wärmeerzeugerleistung&lt;69,INDEX(Oelheizung_Invest_ref,3,4),IF(Wärmeerzeugerleistung&lt;191,INDEX(Oelheizung_Invest_ref,4,4),IF(Wärmeerzeugerleistung&gt;190,INDEX(Oelheizung_Invest_ref,5,4))))))</f>
        <v>550</v>
      </c>
      <c r="E95" s="332">
        <f>IF(Wärmeerzeugerleistung&lt;8,INDEX(Oelheizung_Invest_ref,1,5),IF(Wärmeerzeugerleistung&lt;29,INDEX(Oelheizung_Invest_ref,2,5),IF(Wärmeerzeugerleistung&lt;69,INDEX(Oelheizung_Invest_ref,3,5),IF(Wärmeerzeugerleistung&lt;191,INDEX(Oelheizung_Invest_ref,4,5),IF(Wärmeerzeugerleistung&gt;190,INDEX(Oelheizung_Invest_ref,5,5))))))</f>
        <v>11000</v>
      </c>
      <c r="F95" s="1">
        <f>ROUND(IF(Wärmeerzeugerleistung&lt;8,INDEX(Oelheizung_Invest_ref,1,6),IF(Wärmeerzeugerleistung&lt;29,INDEX(Oelheizung_Invest_ref,2,6),IF(Wärmeerzeugerleistung&lt;69,INDEX(Oelheizung_Invest_ref,3,6),IF(Wärmeerzeugerleistung&lt;191,INDEX(Oelheizung_Invest_ref,4,6),IF(Wärmeerzeugerleistung&gt;190,INDEX(Oelheizung_Invest_ref,5,6)))))),-3)</f>
        <v>0</v>
      </c>
    </row>
    <row r="96" spans="1:7">
      <c r="A96" s="13"/>
      <c r="B96" s="3" t="s">
        <v>44</v>
      </c>
      <c r="C96" s="417">
        <f>IF(Wärmeerzeugerleistung&lt;8,INDEX(Gasheizung_Invest_ref,1,3),IF(Wärmeerzeugerleistung&lt;29,INDEX(Gasheizung_Invest_ref,2,3),IF(Wärmeerzeugerleistung&lt;69,INDEX(Gasheizung_Invest_ref,3,3),IF(Wärmeerzeugerleistung&lt;191,INDEX(Gasheizung_Invest_ref,4,3),IF(Wärmeerzeugerleistung&gt;190,INDEX(Gasheizung_Invest_ref,5,3))))))</f>
        <v>26400</v>
      </c>
      <c r="D96" s="417">
        <f>IF(Wärmeerzeugerleistung&lt;8,INDEX(Gasheizung_Invest_ref,1,4),IF(Wärmeerzeugerleistung&lt;29,INDEX(Gasheizung_Invest_ref,2,4),IF(Wärmeerzeugerleistung&lt;69,INDEX(Gasheizung_Invest_ref,3,4),IF(Wärmeerzeugerleistung&lt;191,INDEX(Gasheizung_Invest_ref,4,4),IF(Wärmeerzeugerleistung&gt;190,INDEX(Gasheizung_Invest_ref,5,4))))))</f>
        <v>550</v>
      </c>
      <c r="E96" s="417">
        <f>IF(Wärmeerzeugerleistung&lt;8,INDEX(Gasheizung_Invest_ref,1,5),IF(Wärmeerzeugerleistung&lt;29,INDEX(Gasheizung_Invest_ref,2,5),IF(Wärmeerzeugerleistung&lt;69,INDEX(Gasheizung_Invest_ref,3,5),IF(Wärmeerzeugerleistung&lt;191,INDEX(Gasheizung_Invest_ref,4,5),IF(Wärmeerzeugerleistung&gt;190,INDEX(Gasheizung_Invest_ref,5,5))))))</f>
        <v>8800</v>
      </c>
      <c r="F96" s="3">
        <f>ROUND(IF(Wärmeerzeugerleistung&lt;8,INDEX(Gasheizung_Invest_ref,1,6),IF(Wärmeerzeugerleistung&lt;29,INDEX(Gasheizung_Invest_ref,2,6),IF(Wärmeerzeugerleistung&lt;69,INDEX(Gasheizung_Invest_ref,3,6),IF(Wärmeerzeugerleistung&lt;191,INDEX(Gasheizung_Invest_ref,4,6),IF(Wärmeerzeugerleistung&gt;190,INDEX(Gasheizung_Invest_ref,5,6)))))),-3)</f>
        <v>0</v>
      </c>
    </row>
    <row r="97" spans="1:12">
      <c r="A97" s="13"/>
    </row>
    <row r="98" spans="1:12">
      <c r="A98" s="23">
        <v>3.3</v>
      </c>
      <c r="B98" s="24" t="s">
        <v>745</v>
      </c>
      <c r="C98" s="3">
        <f>IF(Berechnung!I28&lt;500000,0.1074,IF(Berechnung!I28&lt;1000000,0.1067,0.1056))*100*(1+MWST)</f>
        <v>11.41536</v>
      </c>
    </row>
    <row r="99" spans="1:12">
      <c r="A99" s="13"/>
    </row>
    <row r="100" spans="1:12" s="24" customFormat="1" ht="12" customHeight="1">
      <c r="A100" s="24">
        <v>5.0999999999999996</v>
      </c>
      <c r="B100" s="2" t="s">
        <v>347</v>
      </c>
      <c r="C100" s="27" t="s">
        <v>348</v>
      </c>
      <c r="D100" s="27" t="s">
        <v>349</v>
      </c>
      <c r="E100" s="27" t="s">
        <v>794</v>
      </c>
      <c r="F100" s="27"/>
      <c r="G100" s="2" t="s">
        <v>81</v>
      </c>
      <c r="I100" s="27"/>
      <c r="K100" s="2"/>
      <c r="L100" s="27"/>
    </row>
    <row r="101" spans="1:12">
      <c r="B101" s="1" t="s">
        <v>423</v>
      </c>
      <c r="C101" s="1">
        <f>IF(Wärmeerzeugerleistung=0,0,'5 Vorauss. Förderbeitrag'!B4)</f>
        <v>0</v>
      </c>
      <c r="D101" s="1"/>
      <c r="E101" s="1"/>
      <c r="F101" s="1"/>
      <c r="G101" s="1">
        <f>SUM(C101:E101)</f>
        <v>0</v>
      </c>
      <c r="I101" s="1"/>
      <c r="K101" s="1"/>
      <c r="L101" s="1"/>
    </row>
    <row r="102" spans="1:12">
      <c r="B102" s="1" t="s">
        <v>209</v>
      </c>
      <c r="C102" s="1"/>
      <c r="D102" s="1">
        <f>IF(AND(MIN(Wärmeerzeugerleistung,50*EBF/1000)&lt;=70,Wärmeerzeugerleistung&lt;&gt;0),'5 Vorauss. Förderbeitrag'!B6,0)</f>
        <v>0</v>
      </c>
      <c r="E102" s="1">
        <f>IF(AND(MIN(Wärmeerzeugerleistung,50*EBF/1000)&gt;70,Wärmeerzeugerleistung&lt;&gt;0),'5 Vorauss. Förderbeitrag'!C6,0)</f>
        <v>0</v>
      </c>
      <c r="F102" s="1"/>
      <c r="G102" s="1">
        <f t="shared" ref="G102:G107" si="3">SUM(C102:E102)</f>
        <v>0</v>
      </c>
      <c r="I102" s="1"/>
      <c r="K102" s="1"/>
      <c r="L102" s="1"/>
    </row>
    <row r="103" spans="1:12">
      <c r="B103" s="1" t="s">
        <v>208</v>
      </c>
      <c r="C103" s="1"/>
      <c r="D103" s="1">
        <f>IF(AND(MIN(Wärmeerzeugerleistung,50*EBF/1000)&lt;=70,Wärmeerzeugerleistung&lt;&gt;0),'5 Vorauss. Förderbeitrag'!B6,0)</f>
        <v>0</v>
      </c>
      <c r="E103" s="1">
        <f>IF(AND(MIN(Wärmeerzeugerleistung,50*EBF/1000)&gt;70,Wärmeerzeugerleistung&lt;&gt;0),'5 Vorauss. Förderbeitrag'!C6,0)</f>
        <v>0</v>
      </c>
      <c r="F103" s="1"/>
      <c r="G103" s="1">
        <f t="shared" si="3"/>
        <v>0</v>
      </c>
      <c r="I103" s="1"/>
      <c r="K103" s="1"/>
      <c r="L103" s="1"/>
    </row>
    <row r="104" spans="1:12">
      <c r="B104" s="1" t="s">
        <v>42</v>
      </c>
      <c r="C104" s="1"/>
      <c r="D104" s="1">
        <f>IF(AND(MIN(Wärmeerzeugerleistung,50*EBF/1000)&lt;=70,Wärmeerzeugerleistung&lt;&gt;0),'5 Vorauss. Förderbeitrag'!B8,0)</f>
        <v>0</v>
      </c>
      <c r="E104" s="1">
        <f>IF(AND(MIN(Wärmeerzeugerleistung,50*EBF/1000)&gt;70,Wärmeerzeugerleistung&lt;&gt;0),'5 Vorauss. Förderbeitrag'!C8,0)</f>
        <v>0</v>
      </c>
      <c r="F104" s="1"/>
      <c r="G104" s="1">
        <f t="shared" si="3"/>
        <v>0</v>
      </c>
      <c r="I104" s="1"/>
      <c r="K104" s="1"/>
      <c r="L104" s="1"/>
    </row>
    <row r="105" spans="1:12">
      <c r="B105" s="1" t="s">
        <v>43</v>
      </c>
      <c r="C105" s="1"/>
      <c r="D105" s="1">
        <f>IF(AND(MIN(Wärmeerzeugerleistung,50*EBF/1000)&lt;=70,Wärmeerzeugerleistung&lt;&gt;0),'5 Vorauss. Förderbeitrag'!B8,0)</f>
        <v>0</v>
      </c>
      <c r="E105" s="1">
        <f>IF(AND(MIN(Wärmeerzeugerleistung,50*EBF/1000)&gt;70,Wärmeerzeugerleistung&lt;&gt;0),'5 Vorauss. Förderbeitrag'!C8,0)</f>
        <v>0</v>
      </c>
      <c r="F105" s="1"/>
      <c r="G105" s="1">
        <f t="shared" si="3"/>
        <v>0</v>
      </c>
      <c r="I105" s="1"/>
      <c r="K105" s="1"/>
      <c r="L105" s="1"/>
    </row>
    <row r="106" spans="1:12">
      <c r="B106" s="1" t="s">
        <v>40</v>
      </c>
      <c r="C106" s="1"/>
      <c r="D106" s="1">
        <f>IF(AND(MIN(Wärmeerzeugerleistung,50*EBF/1000)&lt;=70,Wärmeerzeugerleistung&lt;&gt;0),'5 Vorauss. Förderbeitrag'!B10,0)</f>
        <v>0</v>
      </c>
      <c r="E106" s="1">
        <f>IF(AND(MIN(Wärmeerzeugerleistung,50*EBF/1000)&gt;70,Wärmeerzeugerleistung&lt;&gt;0),'5 Vorauss. Förderbeitrag'!C10,0)</f>
        <v>0</v>
      </c>
      <c r="F106" s="1"/>
      <c r="G106" s="1">
        <f t="shared" si="3"/>
        <v>0</v>
      </c>
      <c r="I106" s="1"/>
      <c r="K106" s="1"/>
      <c r="L106" s="1"/>
    </row>
    <row r="107" spans="1:12">
      <c r="B107" s="1" t="s">
        <v>41</v>
      </c>
      <c r="C107" s="1"/>
      <c r="D107" s="1">
        <f>IF(AND(MIN(Wärmeerzeugerleistung,50*EBF/1000)&lt;=70,Wärmeerzeugerleistung&lt;&gt;0),'5 Vorauss. Förderbeitrag'!B10,0)</f>
        <v>0</v>
      </c>
      <c r="E107" s="1">
        <f>IF(AND(MIN(Wärmeerzeugerleistung,50*EBF/1000)&gt;70,Wärmeerzeugerleistung&lt;&gt;0),'5 Vorauss. Förderbeitrag'!C10,0)</f>
        <v>0</v>
      </c>
      <c r="F107" s="1"/>
      <c r="G107" s="1">
        <f t="shared" si="3"/>
        <v>0</v>
      </c>
      <c r="I107" s="1"/>
      <c r="K107" s="1"/>
      <c r="L107" s="1"/>
    </row>
    <row r="108" spans="1:12">
      <c r="B108" s="1"/>
      <c r="C108" s="1"/>
      <c r="D108" s="1"/>
      <c r="E108" s="1"/>
      <c r="F108" s="1"/>
      <c r="G108" s="1"/>
      <c r="I108" s="1"/>
      <c r="K108" s="1"/>
      <c r="L108" s="1"/>
    </row>
    <row r="109" spans="1:12">
      <c r="A109" s="24">
        <v>5.2</v>
      </c>
      <c r="B109" s="2" t="s">
        <v>346</v>
      </c>
      <c r="C109" s="2" t="s">
        <v>348</v>
      </c>
      <c r="D109" s="2"/>
      <c r="E109" s="2"/>
      <c r="F109" s="2"/>
      <c r="G109" s="2" t="s">
        <v>81</v>
      </c>
      <c r="I109" s="1"/>
      <c r="K109" s="1"/>
      <c r="L109" s="1"/>
    </row>
    <row r="110" spans="1:12">
      <c r="B110" s="1" t="s">
        <v>423</v>
      </c>
      <c r="C110" s="1">
        <f>'5 Vorauss. Förderbeitrag'!B15</f>
        <v>4100</v>
      </c>
      <c r="D110" s="1"/>
      <c r="E110" s="1"/>
      <c r="F110" s="1"/>
      <c r="G110" s="1">
        <f>SUM(C110:F110)</f>
        <v>4100</v>
      </c>
      <c r="I110" s="1"/>
      <c r="K110" s="1"/>
      <c r="L110" s="1"/>
    </row>
    <row r="111" spans="1:12">
      <c r="B111" s="1" t="s">
        <v>209</v>
      </c>
      <c r="C111" s="1">
        <f>IF(Wärmenetz_möglich="Nein",'5 Vorauss. Förderbeitrag'!B17,0)</f>
        <v>0</v>
      </c>
      <c r="D111" s="1"/>
      <c r="E111" s="1"/>
      <c r="F111" s="1"/>
      <c r="G111" s="1">
        <f t="shared" ref="G111" si="4">SUM(C111:F111)</f>
        <v>0</v>
      </c>
      <c r="I111" s="1"/>
      <c r="K111" s="1"/>
      <c r="L111" s="1"/>
    </row>
    <row r="112" spans="1:12">
      <c r="B112" s="1" t="s">
        <v>208</v>
      </c>
      <c r="C112" s="1">
        <f>IF(Wärmenetz_möglich="Nein",'5 Vorauss. Förderbeitrag'!B17,0)</f>
        <v>0</v>
      </c>
      <c r="D112" s="1"/>
      <c r="E112" s="1"/>
      <c r="F112" s="1"/>
      <c r="G112" s="1">
        <f t="shared" ref="G112" si="5">SUM(C112:F112)</f>
        <v>0</v>
      </c>
      <c r="I112" s="1"/>
      <c r="K112" s="1"/>
      <c r="L112" s="1"/>
    </row>
    <row r="113" spans="1:12">
      <c r="B113" s="1" t="s">
        <v>42</v>
      </c>
      <c r="C113" s="1">
        <f>IF(Wärmenetz_möglich="Nein",'5 Vorauss. Förderbeitrag'!B19,0)</f>
        <v>0</v>
      </c>
      <c r="D113" s="1"/>
      <c r="E113" s="1"/>
      <c r="F113" s="1"/>
      <c r="G113" s="1">
        <f t="shared" ref="G113:G116" si="6">SUM(C113:F113)</f>
        <v>0</v>
      </c>
      <c r="I113" s="1"/>
      <c r="K113" s="1"/>
      <c r="L113" s="1"/>
    </row>
    <row r="114" spans="1:12">
      <c r="B114" s="1" t="s">
        <v>43</v>
      </c>
      <c r="C114" s="1">
        <f>IF(Wärmenetz_möglich="Nein",'5 Vorauss. Förderbeitrag'!B19,0)</f>
        <v>0</v>
      </c>
      <c r="D114" s="1"/>
      <c r="E114" s="1"/>
      <c r="F114" s="1"/>
      <c r="G114" s="1">
        <f t="shared" si="6"/>
        <v>0</v>
      </c>
      <c r="I114" s="1"/>
      <c r="K114" s="1"/>
      <c r="L114" s="1"/>
    </row>
    <row r="115" spans="1:12">
      <c r="B115" s="1" t="s">
        <v>40</v>
      </c>
      <c r="C115" s="1">
        <v>0</v>
      </c>
      <c r="D115" s="1"/>
      <c r="E115" s="1"/>
      <c r="F115" s="1"/>
      <c r="G115" s="1">
        <f t="shared" si="6"/>
        <v>0</v>
      </c>
      <c r="I115" s="1"/>
      <c r="K115" s="1"/>
      <c r="L115" s="1"/>
    </row>
    <row r="116" spans="1:12">
      <c r="B116" s="1" t="s">
        <v>41</v>
      </c>
      <c r="C116" s="1">
        <v>0</v>
      </c>
      <c r="D116" s="1"/>
      <c r="E116" s="1"/>
      <c r="F116" s="1"/>
      <c r="G116" s="1">
        <f t="shared" si="6"/>
        <v>0</v>
      </c>
      <c r="I116" s="1"/>
      <c r="K116" s="1"/>
      <c r="L116" s="1"/>
    </row>
    <row r="117" spans="1:12">
      <c r="D117" s="534"/>
      <c r="E117" s="534"/>
    </row>
    <row r="118" spans="1:12" ht="13.5">
      <c r="A118" s="366">
        <v>6</v>
      </c>
      <c r="B118" s="2" t="s">
        <v>180</v>
      </c>
    </row>
    <row r="119" spans="1:12">
      <c r="A119" s="56"/>
      <c r="B119" s="2"/>
    </row>
    <row r="120" spans="1:12">
      <c r="A120" s="55"/>
      <c r="B120" s="1" t="s">
        <v>423</v>
      </c>
      <c r="C120" s="1" t="e">
        <f>ROUND(IF(Wärmeerzeugerleistung="","",IF(Wärmeerzeugerleistung&lt;25,'6.1 Raumbedarf'!D9,IF(Wärmeerzeugerleistung&lt;50,'6.1 Raumbedarf'!D10,IF(Wärmeerzeugerleistung&lt;70,'6.1 Raumbedarf'!D11,IF(Wärmeerzeugerleistung&lt;100,'6.1 Raumbedarf'!D12,IF(Wärmeerzeugerleistung&lt;250,'6.1 Raumbedarf'!D13,IF(Wärmeerzeugerleistung&lt;500,'6.1 Raumbedarf'!D14,IF(Wärmeerzeugerleistung&gt;=500,'6.1 Raumbedarf'!D15,0)))))))),0)</f>
        <v>#VALUE!</v>
      </c>
    </row>
    <row r="121" spans="1:12">
      <c r="A121" s="55"/>
      <c r="B121" s="1" t="s">
        <v>209</v>
      </c>
      <c r="C121" s="1" t="e">
        <f>ROUND(IF(Wärmeerzeugerleistung="","",IF(Wärmeerzeugerleistung&lt;25,'6.1 Raumbedarf'!D19,IF(Wärmeerzeugerleistung&lt;50,'6.1 Raumbedarf'!D20,IF(Wärmeerzeugerleistung&lt;70,'6.1 Raumbedarf'!D21,IF(Wärmeerzeugerleistung&lt;100,'6.1 Raumbedarf'!D22,IF(Wärmeerzeugerleistung&lt;250,'6.1 Raumbedarf'!D23,'6.1 Raumbedarf'!D24)))))),0)</f>
        <v>#VALUE!</v>
      </c>
    </row>
    <row r="122" spans="1:12">
      <c r="A122" s="55"/>
      <c r="B122" s="1" t="s">
        <v>208</v>
      </c>
      <c r="C122" s="1" t="e">
        <f>ROUND(IF(Wärmeerzeugerleistung="","",IF(Wärmeerzeugerleistung&lt;25,'6.1 Raumbedarf'!D19,IF(Wärmeerzeugerleistung&lt;50,'6.1 Raumbedarf'!D20,IF(Wärmeerzeugerleistung&lt;70,'6.1 Raumbedarf'!D21,IF(Wärmeerzeugerleistung&lt;100,'6.1 Raumbedarf'!D22,IF(Wärmeerzeugerleistung&lt;250,'6.1 Raumbedarf'!D23,'6.1 Raumbedarf'!D24)))))),0)</f>
        <v>#VALUE!</v>
      </c>
    </row>
    <row r="123" spans="1:12">
      <c r="A123" s="55"/>
      <c r="B123" s="1" t="s">
        <v>42</v>
      </c>
      <c r="C123" s="1" t="e">
        <f>ROUND(IF(Wärmeerzeugerleistung="","",IF(Wärmeerzeugerleistung&lt;25,'6.1 Raumbedarf'!D19,IF(Wärmeerzeugerleistung&lt;50,'6.1 Raumbedarf'!D20,IF(Wärmeerzeugerleistung&lt;70,'6.1 Raumbedarf'!D21,IF(Wärmeerzeugerleistung&lt;100,'6.1 Raumbedarf'!D22,IF(Wärmeerzeugerleistung&lt;250,'6.1 Raumbedarf'!D23,'6.1 Raumbedarf'!D24)))))),0)</f>
        <v>#VALUE!</v>
      </c>
    </row>
    <row r="124" spans="1:12">
      <c r="A124" s="55"/>
      <c r="B124" s="1" t="s">
        <v>43</v>
      </c>
      <c r="C124" s="1" t="e">
        <f>ROUND(IF(Wärmeerzeugerleistung="","",IF(Wärmeerzeugerleistung&lt;25,'6.1 Raumbedarf'!D19,IF(Wärmeerzeugerleistung&lt;50,'6.1 Raumbedarf'!D20,IF(Wärmeerzeugerleistung&lt;70,'6.1 Raumbedarf'!D21,IF(Wärmeerzeugerleistung&lt;100,'6.1 Raumbedarf'!D22,IF(Wärmeerzeugerleistung&lt;250,'6.1 Raumbedarf'!D23,'6.1 Raumbedarf'!D24)))))),0)</f>
        <v>#VALUE!</v>
      </c>
    </row>
    <row r="125" spans="1:12">
      <c r="A125" s="55"/>
      <c r="B125" s="1" t="s">
        <v>40</v>
      </c>
      <c r="C125" s="332" t="e">
        <f>ROUND(IF(Wärmeerzeugerleistung="","",IF(Wärmeerzeugerleistung&lt;25,'6.1 Raumbedarf'!D49,IF(Wärmeerzeugerleistung&lt;50,'6.1 Raumbedarf'!D50,IF(Wärmeerzeugerleistung&lt;70,'6.1 Raumbedarf'!D51,IF(Wärmeerzeugerleistung&lt;100,'6.1 Raumbedarf'!D52,IF(Wärmeerzeugerleistung&lt;250,'6.1 Raumbedarf'!D53,IF(Wärmeerzeugerleistung&lt;500,'6.1 Raumbedarf'!D54,IF(Wärmeerzeugerleistung&gt;=500,'6.1 Raumbedarf'!D55,0))))))))+'6.1 Raumbedarf'!D29,0)</f>
        <v>#VALUE!</v>
      </c>
    </row>
    <row r="126" spans="1:12">
      <c r="A126" s="55"/>
      <c r="B126" s="1" t="s">
        <v>41</v>
      </c>
      <c r="C126" s="332" t="e">
        <f>ROUND(IF(Wärmeerzeugerleistung="","",IF(Wärmeerzeugerleistung&lt;25,'6.1 Raumbedarf'!D49,IF(Wärmeerzeugerleistung&lt;50,'6.1 Raumbedarf'!D50,IF(Wärmeerzeugerleistung&lt;70,'6.1 Raumbedarf'!D51,IF(Wärmeerzeugerleistung&lt;100,'6.1 Raumbedarf'!D52,IF(Wärmeerzeugerleistung&lt;250,'6.1 Raumbedarf'!D53,IF(Wärmeerzeugerleistung&lt;500,'6.1 Raumbedarf'!D54,IF(Wärmeerzeugerleistung&gt;=500,'6.1 Raumbedarf'!D55,0))))))))+'6.1 Raumbedarf'!D33,0)</f>
        <v>#VALUE!</v>
      </c>
    </row>
    <row r="127" spans="1:12" s="1" customFormat="1">
      <c r="A127" s="55"/>
      <c r="B127" s="1" t="s">
        <v>19</v>
      </c>
      <c r="C127" s="1" t="e">
        <f>ROUND(IF(Wärmeerzeugerleistung="","",IF(Wärmeerzeugerleistung&lt;25,'6.1 Raumbedarf'!E38,IF(Wärmeerzeugerleistung&lt;50,'6.1 Raumbedarf'!E39,IF(Wärmeerzeugerleistung&lt;70,'6.1 Raumbedarf'!E40,IF(Wärmeerzeugerleistung&lt;100,'6.1 Raumbedarf'!E41,IF(Wärmeerzeugerleistung&lt;250,'6.1 Raumbedarf'!E42,IF(Wärmeerzeugerleistung&lt;500,'6.1 Raumbedarf'!E43,IF(Wärmeerzeugerleistung&gt;=500,'6.1 Raumbedarf'!E44,0)))))))),0)</f>
        <v>#VALUE!</v>
      </c>
    </row>
    <row r="128" spans="1:12" s="1" customFormat="1">
      <c r="A128" s="55"/>
      <c r="B128" s="1" t="s">
        <v>44</v>
      </c>
      <c r="C128" s="1" t="e">
        <f>ROUND(IF(Wärmeerzeugerleistung="","",IF(Wärmeerzeugerleistung&lt;25,'6.1 Raumbedarf'!D49,IF(Wärmeerzeugerleistung&lt;50,'6.1 Raumbedarf'!D50,IF(Wärmeerzeugerleistung&lt;70,'6.1 Raumbedarf'!D51,IF(Wärmeerzeugerleistung&lt;100,'6.1 Raumbedarf'!D52,IF(Wärmeerzeugerleistung&lt;250,'6.1 Raumbedarf'!D53,IF(Wärmeerzeugerleistung&lt;500,'6.1 Raumbedarf'!D54,IF(Wärmeerzeugerleistung&gt;=500,'6.1 Raumbedarf'!D55,0)))))))),0)</f>
        <v>#VALUE!</v>
      </c>
    </row>
    <row r="129" spans="1:8">
      <c r="A129" s="13"/>
    </row>
    <row r="130" spans="1:8">
      <c r="A130" s="23">
        <v>6.2</v>
      </c>
      <c r="B130" s="24" t="s">
        <v>48</v>
      </c>
      <c r="C130" s="3">
        <v>300</v>
      </c>
    </row>
    <row r="131" spans="1:8">
      <c r="A131" s="13"/>
    </row>
    <row r="132" spans="1:8">
      <c r="A132" s="23">
        <v>9.3000000000000007</v>
      </c>
      <c r="B132" s="24" t="s">
        <v>49</v>
      </c>
      <c r="C132" s="3">
        <v>20</v>
      </c>
      <c r="D132" s="1">
        <v>30</v>
      </c>
      <c r="E132" s="3">
        <v>40</v>
      </c>
      <c r="F132" s="1">
        <v>50</v>
      </c>
      <c r="G132" s="1"/>
    </row>
    <row r="133" spans="1:8">
      <c r="A133" s="23"/>
      <c r="B133" s="24" t="s">
        <v>181</v>
      </c>
      <c r="C133" s="35">
        <f>PMT($C$136,C132,-1)</f>
        <v>5.6820389631804392E-2</v>
      </c>
      <c r="D133" s="35">
        <f>PMT($C$136,D132,-1)</f>
        <v>4.0178543433263728E-2</v>
      </c>
      <c r="E133" s="35">
        <f>PMT($C$136,E132,-1)</f>
        <v>3.1921413908580824E-2</v>
      </c>
      <c r="F133" s="35">
        <f>PMT($C$136,F132,-1)</f>
        <v>2.7017625074134778E-2</v>
      </c>
      <c r="G133" s="1"/>
      <c r="H133" s="57"/>
    </row>
    <row r="134" spans="1:8">
      <c r="A134" s="23"/>
      <c r="B134" s="24" t="s">
        <v>50</v>
      </c>
      <c r="C134" s="29">
        <f>1/PMT($C$136,C132,-1)</f>
        <v>17.599316134225599</v>
      </c>
      <c r="D134" s="29">
        <f>1/PMT($C$136,D132,-1)</f>
        <v>24.888906230784418</v>
      </c>
      <c r="E134" s="29">
        <f>1/PMT($C$136,E132,-1)</f>
        <v>31.326933163546027</v>
      </c>
      <c r="F134" s="29">
        <f>1/PMT($C$136,F132,-1)</f>
        <v>37.012875752626613</v>
      </c>
      <c r="G134" s="1"/>
    </row>
    <row r="135" spans="1:8">
      <c r="A135" s="13"/>
      <c r="D135" s="6"/>
      <c r="E135" s="6"/>
      <c r="F135" s="6"/>
      <c r="G135" s="6"/>
    </row>
    <row r="136" spans="1:8">
      <c r="A136" s="23">
        <v>8.1</v>
      </c>
      <c r="B136" s="24" t="s">
        <v>51</v>
      </c>
      <c r="C136" s="4">
        <f>'7.1 Kalkulationszinssatz'!C3</f>
        <v>1.2500000000000001E-2</v>
      </c>
      <c r="D136" s="6"/>
      <c r="E136" s="6"/>
      <c r="F136" s="6"/>
      <c r="G136" s="6"/>
    </row>
    <row r="137" spans="1:8">
      <c r="A137" s="13"/>
      <c r="D137" s="6"/>
      <c r="E137" s="6"/>
      <c r="F137" s="6"/>
      <c r="G137" s="6"/>
    </row>
    <row r="138" spans="1:8">
      <c r="A138" s="23">
        <v>9.1</v>
      </c>
      <c r="B138" s="24" t="s">
        <v>53</v>
      </c>
      <c r="C138" s="4">
        <f>Teuerungsindex</f>
        <v>1.55E-2</v>
      </c>
      <c r="D138" s="6"/>
      <c r="E138" s="6"/>
      <c r="F138" s="6"/>
      <c r="G138" s="6"/>
    </row>
    <row r="139" spans="1:8">
      <c r="A139" s="13"/>
      <c r="D139" s="6"/>
      <c r="E139" s="6"/>
      <c r="F139" s="6"/>
      <c r="G139" s="6"/>
    </row>
    <row r="140" spans="1:8">
      <c r="A140" s="23">
        <v>9.1999999999999993</v>
      </c>
      <c r="B140" s="26" t="s">
        <v>54</v>
      </c>
      <c r="C140" s="4">
        <f>Teuerungsindex</f>
        <v>1.55E-2</v>
      </c>
      <c r="D140" s="6"/>
      <c r="E140" s="6"/>
      <c r="F140" s="6"/>
      <c r="G140" s="6"/>
    </row>
    <row r="141" spans="1:8">
      <c r="A141" s="13"/>
      <c r="D141" s="6"/>
      <c r="E141" s="6"/>
      <c r="F141" s="6"/>
      <c r="G141" s="6"/>
    </row>
    <row r="142" spans="1:8">
      <c r="A142" s="23">
        <v>9.1</v>
      </c>
      <c r="B142" s="24" t="s">
        <v>49</v>
      </c>
      <c r="C142" s="3">
        <v>20</v>
      </c>
      <c r="D142" s="1">
        <v>30</v>
      </c>
      <c r="E142" s="3">
        <v>40</v>
      </c>
      <c r="F142" s="1">
        <v>50</v>
      </c>
      <c r="G142" s="6"/>
    </row>
    <row r="143" spans="1:8">
      <c r="A143" s="23"/>
      <c r="B143" s="24" t="s">
        <v>55</v>
      </c>
      <c r="C143" s="5">
        <f>IF($C$136&lt;&gt;$C$138,1/($C$136-$C$138)*(1-((1+$C$138)/(1+$C$136))^C132),C132/(1+$C$136))</f>
        <v>20.319109557368936</v>
      </c>
      <c r="D143" s="29">
        <f>IF($C$136&lt;&gt;$C$138,1/($C$136-$C$138)*(1-((1+$C$138)/(1+$C$136))^D132),D132/(1+$C$136))</f>
        <v>30.938524664987746</v>
      </c>
      <c r="E143" s="29">
        <f>IF($C$136&lt;&gt;$C$138,1/($C$136-$C$138)*(1-((1+$C$138)/(1+$C$136))^E132),E132/(1+$C$136))</f>
        <v>41.876817754350938</v>
      </c>
      <c r="F143" s="29">
        <f>IF($C$136&lt;&gt;$C$138,1/($C$136-$C$138)*(1-((1+$C$138)/(1+$C$136))^F132),F132/(1+$C$136))</f>
        <v>53.143564038990434</v>
      </c>
      <c r="G143" s="7"/>
    </row>
    <row r="144" spans="1:8">
      <c r="A144" s="23"/>
      <c r="B144" s="24" t="s">
        <v>55</v>
      </c>
      <c r="C144" s="5">
        <f>SUM(C143/C134)</f>
        <v>1.1545397220210234</v>
      </c>
      <c r="D144" s="29">
        <f>SUM(D143/D134)</f>
        <v>1.2430648570133114</v>
      </c>
      <c r="E144" s="29">
        <f>SUM(E143/E134)</f>
        <v>1.3367672327108424</v>
      </c>
      <c r="F144" s="29">
        <f>SUM(F143/F134)</f>
        <v>1.4358128883087153</v>
      </c>
      <c r="G144" s="7"/>
    </row>
    <row r="145" spans="1:13">
      <c r="A145" s="13"/>
      <c r="D145" s="1"/>
      <c r="F145" s="1"/>
      <c r="G145" s="6"/>
    </row>
    <row r="146" spans="1:13">
      <c r="A146" s="25">
        <v>9.1999999999999993</v>
      </c>
      <c r="B146" s="26" t="s">
        <v>49</v>
      </c>
      <c r="C146" s="3">
        <v>20</v>
      </c>
      <c r="D146" s="1">
        <v>30</v>
      </c>
      <c r="E146" s="3">
        <v>40</v>
      </c>
      <c r="F146" s="1">
        <v>50</v>
      </c>
      <c r="G146" s="6"/>
    </row>
    <row r="147" spans="1:13">
      <c r="A147" s="25"/>
      <c r="B147" s="26" t="s">
        <v>56</v>
      </c>
      <c r="C147" s="5">
        <f>IF($C$136&lt;&gt;$C$140,1/($C$136-$C$140)*(1-((1+$C$140)/(1+$C$136))^C132),C132/(1+$C$136))</f>
        <v>20.319109557368936</v>
      </c>
      <c r="D147" s="29">
        <f>IF($C$136&lt;&gt;$C$140,1/($C$136-$C$140)*(1-((1+$C$140)/(1+$C$136))^D132),D132/(1+$C$136))</f>
        <v>30.938524664987746</v>
      </c>
      <c r="E147" s="29">
        <f>IF($C$136&lt;&gt;$C$140,1/($C$136-$C$140)*(1-((1+$C$140)/(1+$C$136))^E132),E132/(1+$C$136))</f>
        <v>41.876817754350938</v>
      </c>
      <c r="F147" s="29">
        <f>IF($C$136&lt;&gt;$C$140,1/($C$136-$C$140)*(1-((1+$C$140)/(1+$C$136))^F132),F132/(1+$C$136))</f>
        <v>53.143564038990434</v>
      </c>
      <c r="G147" s="7"/>
    </row>
    <row r="148" spans="1:13">
      <c r="A148" s="25"/>
      <c r="B148" s="26" t="s">
        <v>56</v>
      </c>
      <c r="C148" s="5">
        <f>SUM(C147/C134)</f>
        <v>1.1545397220210234</v>
      </c>
      <c r="D148" s="29">
        <f t="shared" ref="D148" si="7">SUM(D147/D134)</f>
        <v>1.2430648570133114</v>
      </c>
      <c r="E148" s="29">
        <f>SUM(E147/E134)</f>
        <v>1.3367672327108424</v>
      </c>
      <c r="F148" s="29">
        <f>SUM(F147/F134)</f>
        <v>1.4358128883087153</v>
      </c>
      <c r="G148" s="7"/>
    </row>
    <row r="149" spans="1:13" s="24" customFormat="1">
      <c r="A149" s="13"/>
      <c r="B149" s="3"/>
      <c r="C149" s="3"/>
      <c r="D149" s="3"/>
      <c r="E149" s="3"/>
      <c r="F149" s="3"/>
      <c r="G149" s="3"/>
      <c r="H149" s="3"/>
      <c r="I149" s="3"/>
      <c r="J149" s="3"/>
      <c r="K149" s="3"/>
      <c r="L149" s="3"/>
      <c r="M149" s="3"/>
    </row>
    <row r="150" spans="1:13">
      <c r="A150" s="23">
        <v>9.3000000000000007</v>
      </c>
      <c r="B150" s="24" t="s">
        <v>33</v>
      </c>
      <c r="C150" s="28"/>
      <c r="D150" s="28"/>
      <c r="E150" s="28"/>
      <c r="F150" s="28"/>
      <c r="G150" s="28"/>
      <c r="H150" s="28"/>
      <c r="I150" s="28"/>
      <c r="J150" s="24"/>
      <c r="K150" s="24"/>
      <c r="L150" s="24"/>
      <c r="M150" s="24"/>
    </row>
    <row r="151" spans="1:13">
      <c r="A151" s="13"/>
      <c r="B151" s="3" t="s">
        <v>667</v>
      </c>
      <c r="C151" s="5" t="e">
        <f>(IF(Berechnung!F33="",Berechnung!E33,Berechnung!F33)+IF(OR(Berechnung!E34="-",Berechnung!E34=""),0,Berechnung!E34))*1000</f>
        <v>#VALUE!</v>
      </c>
      <c r="D151" s="5" t="e">
        <f>(IF(Berechnung!H33="",Berechnung!G33,Berechnung!H33)+IF(OR(Berechnung!G34="-",Berechnung!G34=""),0,Berechnung!G34))*1000</f>
        <v>#VALUE!</v>
      </c>
      <c r="E151" s="5" t="e">
        <f>(IF(Berechnung!J33="",Berechnung!I33,Berechnung!J33)+IF(OR(Berechnung!I34="-",Berechnung!I34=""),0,Berechnung!I34))*1000</f>
        <v>#VALUE!</v>
      </c>
      <c r="F151" s="5" t="e">
        <f>(IF(Berechnung!L33="",Berechnung!K33,Berechnung!L33)+IF(OR(Berechnung!K34="-",Berechnung!K34=""),0,Berechnung!K34))*1000</f>
        <v>#VALUE!</v>
      </c>
      <c r="G151" s="5">
        <f>(IF(Berechnung!N33="",Berechnung!M33,Berechnung!N33)+IF(OR(Berechnung!M34="-",Berechnung!M34=""),0,Berechnung!M34))*1000</f>
        <v>47550</v>
      </c>
      <c r="H151" s="5" t="e">
        <f>(IF(Berechnung!P33="",Berechnung!O33,Berechnung!P33)+IF(OR(Berechnung!O34="-",Berechnung!O34=""),0,Berechnung!O34))*1000</f>
        <v>#VALUE!</v>
      </c>
      <c r="I151" s="5"/>
    </row>
    <row r="152" spans="1:13">
      <c r="A152" s="13"/>
      <c r="B152" s="3" t="s">
        <v>668</v>
      </c>
      <c r="C152" s="5" t="e">
        <f>IF(Berechnung!F39="",Berechnung!E39,Berechnung!F39)*1000+IF(Berechnung!F40="",Berechnung!E40,Berechnung!F40)*1000+IF(Berechnung!E41="",0,Berechnung!E41)*1000</f>
        <v>#VALUE!</v>
      </c>
      <c r="D152" s="5" t="e">
        <f>IF(Berechnung!H39="",Berechnung!G39,Berechnung!H39)*1000+IF(Berechnung!H40="",Berechnung!G40,Berechnung!H40)*1000+IF(Berechnung!G41="",0,Berechnung!G41)*1000</f>
        <v>#VALUE!</v>
      </c>
      <c r="E152" s="5" t="e">
        <f>IF(Berechnung!J39="",Berechnung!I39,Berechnung!J39)*1000+IF(Berechnung!J40="",Berechnung!I40,Berechnung!J40)*1000+IF(Berechnung!I41="",0,Berechnung!I41)*1000</f>
        <v>#VALUE!</v>
      </c>
      <c r="F152" s="5" t="e">
        <f>IF(Berechnung!L39="",Berechnung!K39,Berechnung!L39)*1000+IF(Berechnung!L40="",Berechnung!K40,Berechnung!L40)*1000+IF(Berechnung!K41="",0,Berechnung!K41)*1000</f>
        <v>#VALUE!</v>
      </c>
      <c r="G152" s="5">
        <f>IF(Berechnung!N39="",Berechnung!M39,Berechnung!N39)+IF(Berechnung!N40="",Berechnung!M40,Berechnung!N40)+IF(Berechnung!M41="",0,Berechnung!M41)</f>
        <v>0</v>
      </c>
      <c r="H152" s="5" t="e">
        <f>IF(Berechnung!P39="",Berechnung!O39,Berechnung!P39)+IF(Berechnung!P40="",Berechnung!O40,Berechnung!P40)+IF(Berechnung!O41="",0,Berechnung!O41)</f>
        <v>#VALUE!</v>
      </c>
      <c r="I152" s="5"/>
    </row>
    <row r="153" spans="1:13">
      <c r="A153" s="13"/>
      <c r="B153" s="3" t="s">
        <v>669</v>
      </c>
      <c r="C153" s="5" t="e">
        <f>(IF(Berechnung!F36="",Berechnung!E36,Berechnung!F36)+IF(Berechnung!F37="",Berechnung!E37,Berechnung!F37))*1000</f>
        <v>#VALUE!</v>
      </c>
      <c r="D153" s="5" t="e">
        <f>(IF(Berechnung!H36="",Berechnung!G36,Berechnung!H36)+IF(Berechnung!H37="",Berechnung!G37,Berechnung!H37))*1000</f>
        <v>#VALUE!</v>
      </c>
      <c r="E153" s="5" t="e">
        <f>(IF(Berechnung!J36="",Berechnung!I36,Berechnung!J36)+IF(Berechnung!J37="",Berechnung!I37,Berechnung!J37))*1000</f>
        <v>#VALUE!</v>
      </c>
      <c r="F153" s="5" t="e">
        <f>(IF(Berechnung!L36="",Berechnung!K36,Berechnung!L36)+IF(Berechnung!L37="",Berechnung!K37,Berechnung!L37))*1000</f>
        <v>#VALUE!</v>
      </c>
      <c r="G153" s="5">
        <f>(IF(Berechnung!N36="",Berechnung!M36,Berechnung!N36)+IF(Berechnung!N37="",Berechnung!M37,Berechnung!N37))*1000</f>
        <v>0</v>
      </c>
      <c r="H153" s="5" t="e">
        <f>(IF(Berechnung!P36="",Berechnung!O36,Berechnung!P36)+IF(Berechnung!P37="",Berechnung!O37,Berechnung!P37))*1000</f>
        <v>#VALUE!</v>
      </c>
      <c r="I153" s="5"/>
    </row>
    <row r="154" spans="1:13">
      <c r="A154" s="13"/>
      <c r="B154" s="10" t="s">
        <v>670</v>
      </c>
      <c r="C154" s="11" t="str">
        <f>Berechnung!E46</f>
        <v xml:space="preserve"> </v>
      </c>
      <c r="D154" s="11" t="str">
        <f>Berechnung!G46</f>
        <v xml:space="preserve"> </v>
      </c>
      <c r="E154" s="11" t="str">
        <f>Berechnung!I46</f>
        <v xml:space="preserve"> </v>
      </c>
      <c r="F154" s="11" t="str">
        <f>Berechnung!K46</f>
        <v xml:space="preserve"> </v>
      </c>
      <c r="G154" s="11" t="str">
        <f>Berechnung!M46</f>
        <v xml:space="preserve"> </v>
      </c>
      <c r="H154" s="11" t="str">
        <f>Berechnung!O46</f>
        <v xml:space="preserve"> </v>
      </c>
      <c r="I154" s="5"/>
    </row>
    <row r="155" spans="1:13">
      <c r="A155" s="13"/>
      <c r="B155" s="3" t="s">
        <v>672</v>
      </c>
      <c r="C155" s="5" t="str">
        <f>IF(ISERROR((C151-C152)*$C$133)," ",(C151-C152)*$C$133)</f>
        <v xml:space="preserve"> </v>
      </c>
      <c r="D155" s="5" t="str">
        <f t="shared" ref="D155:H155" si="8">IF(ISERROR((D151-D152)*$C$133)," ",(D151-D152)*$C$133)</f>
        <v xml:space="preserve"> </v>
      </c>
      <c r="E155" s="5" t="str">
        <f t="shared" si="8"/>
        <v xml:space="preserve"> </v>
      </c>
      <c r="F155" s="5" t="str">
        <f t="shared" si="8"/>
        <v xml:space="preserve"> </v>
      </c>
      <c r="G155" s="5">
        <f t="shared" si="8"/>
        <v>2701.8095269922987</v>
      </c>
      <c r="H155" s="5" t="str">
        <f t="shared" si="8"/>
        <v xml:space="preserve"> </v>
      </c>
      <c r="I155" s="5"/>
    </row>
    <row r="156" spans="1:13">
      <c r="A156" s="13"/>
      <c r="B156" s="3" t="s">
        <v>739</v>
      </c>
      <c r="C156" s="5" t="str">
        <f>IF(ISERROR(C153*$E$133)," ",C153*$E$133)</f>
        <v xml:space="preserve"> </v>
      </c>
      <c r="D156" s="5" t="str">
        <f t="shared" ref="D156:H157" si="9">IF(ISERROR(D153*$E$133)," ",D153*$E$133)</f>
        <v xml:space="preserve"> </v>
      </c>
      <c r="E156" s="5" t="str">
        <f t="shared" si="9"/>
        <v xml:space="preserve"> </v>
      </c>
      <c r="F156" s="5" t="str">
        <f t="shared" si="9"/>
        <v xml:space="preserve"> </v>
      </c>
      <c r="G156" s="5">
        <f t="shared" si="9"/>
        <v>0</v>
      </c>
      <c r="H156" s="5" t="str">
        <f t="shared" si="9"/>
        <v xml:space="preserve"> </v>
      </c>
      <c r="I156" s="5"/>
    </row>
    <row r="157" spans="1:13" ht="12.75" thickBot="1">
      <c r="A157" s="13"/>
      <c r="B157" s="8" t="s">
        <v>671</v>
      </c>
      <c r="C157" s="9" t="str">
        <f>IF(ISERROR(C154*$E$133)," ",C154*$E$133)</f>
        <v xml:space="preserve"> </v>
      </c>
      <c r="D157" s="9" t="str">
        <f t="shared" si="9"/>
        <v xml:space="preserve"> </v>
      </c>
      <c r="E157" s="9" t="str">
        <f t="shared" si="9"/>
        <v xml:space="preserve"> </v>
      </c>
      <c r="F157" s="9" t="str">
        <f t="shared" si="9"/>
        <v xml:space="preserve"> </v>
      </c>
      <c r="G157" s="9" t="str">
        <f t="shared" si="9"/>
        <v xml:space="preserve"> </v>
      </c>
      <c r="H157" s="9" t="str">
        <f t="shared" si="9"/>
        <v xml:space="preserve"> </v>
      </c>
      <c r="I157" s="5"/>
    </row>
    <row r="158" spans="1:13" ht="12.75" thickTop="1">
      <c r="A158" s="13"/>
      <c r="B158" s="3" t="s">
        <v>57</v>
      </c>
      <c r="C158" s="5">
        <f t="shared" ref="C158:H158" si="10">SUM(C155:C157)</f>
        <v>0</v>
      </c>
      <c r="D158" s="5">
        <f t="shared" si="10"/>
        <v>0</v>
      </c>
      <c r="E158" s="5">
        <f t="shared" si="10"/>
        <v>0</v>
      </c>
      <c r="F158" s="5">
        <f t="shared" si="10"/>
        <v>0</v>
      </c>
      <c r="G158" s="5">
        <f t="shared" si="10"/>
        <v>2701.8095269922987</v>
      </c>
      <c r="H158" s="5">
        <f t="shared" si="10"/>
        <v>0</v>
      </c>
      <c r="I158" s="5"/>
    </row>
    <row r="160" spans="1:13">
      <c r="B160" s="3" t="s">
        <v>666</v>
      </c>
      <c r="C160" s="5" t="str">
        <f t="shared" ref="C160:H160" si="11">IF(ISERROR(C152*$C$133),"",C152*$C$133)</f>
        <v/>
      </c>
      <c r="D160" s="5" t="str">
        <f t="shared" si="11"/>
        <v/>
      </c>
      <c r="E160" s="5" t="str">
        <f t="shared" si="11"/>
        <v/>
      </c>
      <c r="F160" s="5" t="str">
        <f t="shared" si="11"/>
        <v/>
      </c>
      <c r="G160" s="5">
        <f t="shared" si="11"/>
        <v>0</v>
      </c>
      <c r="H160" s="5" t="str">
        <f t="shared" si="11"/>
        <v/>
      </c>
    </row>
    <row r="162" spans="2:13">
      <c r="B162" s="24" t="s">
        <v>395</v>
      </c>
      <c r="C162" s="5"/>
      <c r="D162" s="5"/>
      <c r="E162" s="5"/>
      <c r="F162" s="5"/>
      <c r="G162" s="5"/>
      <c r="H162" s="5"/>
      <c r="I162" s="5"/>
      <c r="J162" s="5"/>
      <c r="K162" s="5"/>
      <c r="L162" s="5"/>
      <c r="M162" s="5"/>
    </row>
    <row r="163" spans="2:13">
      <c r="B163" s="423" t="str">
        <f>IF(Berechnung!O14="", "", "Stromabrechnung für Verbraucherprofil")</f>
        <v/>
      </c>
      <c r="C163" s="423" t="str" cm="1">
        <f t="array" ref="C163">IFERROR(INDEX(B$163:B$175,SMALL(IF(IF(B$163:B$175="",FALSE,TRUE),ROW(A$1:A$13),""),ROW(B163)-ROW(B$162))),"")</f>
        <v>Nachweis WP-Luft technisch nicht möglich</v>
      </c>
      <c r="E163" s="3" t="str">
        <f>IF(ROW(B163)-ROW(B$162)&gt;COUNTIF(C$163:C$163,FALSE),"",INDEX(Beilagen,MATCH(FALSE,C$163:C$163,)))</f>
        <v/>
      </c>
    </row>
    <row r="164" spans="2:13">
      <c r="B164" s="423" t="str">
        <f>IF(OR(Berechnung!F33&lt;&gt;"",Berechnung!H33&lt;&gt;"",Berechnung!J33&lt;&gt;"",Berechnung!L33&lt;&gt;"",Berechnung!N33&lt;&gt;"",Berechnung!P33&lt;&gt;""),"Kostennachweis Investitionskosten Amortisationszeit 20 Jahre","")</f>
        <v/>
      </c>
      <c r="C164" s="423" t="str" cm="1">
        <f t="array" ref="C164">IFERROR(INDEX(B$163:B$175,SMALL(IF(IF(B$163:B$175="",FALSE,TRUE),ROW(A$1:A$13),""),ROW(B164)-ROW(B$162))),"")</f>
        <v>Nachweis Holzheizung technisch nicht möglich</v>
      </c>
    </row>
    <row r="165" spans="2:13">
      <c r="B165" s="423" t="str">
        <f>IF(Minergie="Ja", "Minergie-Zertifikat","")</f>
        <v/>
      </c>
      <c r="C165" s="423" t="str" cm="1">
        <f t="array" ref="C165">IFERROR(INDEX(B$163:B$175,SMALL(IF(IF(B$163:B$175="",FALSE,TRUE),ROW(A$1:A$13),""),ROW(B165)-ROW(B$162))),"")</f>
        <v/>
      </c>
    </row>
    <row r="166" spans="2:13">
      <c r="B166" s="423" t="str">
        <f>IF(OR(GEAK_Klasse="A",GEAK_Klasse="B",GEAK_Klasse="C",GEAK_Klasse="D"),"GEAK Gebäudeenergieausweis","")</f>
        <v/>
      </c>
      <c r="C166" s="423" t="str" cm="1">
        <f t="array" ref="C166">IFERROR(INDEX(B$163:B$175,SMALL(IF(IF(B$163:B$175="",FALSE,TRUE),ROW(A$1:A$13),""),ROW(B166)-ROW(B$162))),"")</f>
        <v/>
      </c>
    </row>
    <row r="167" spans="2:13">
      <c r="B167" s="423" t="str">
        <f>IF(OR(Berechnung!F27&lt;&gt;"",Berechnung!J27&lt;&gt;"",Berechnung!L27&lt;&gt;"",Berechnung!N27&lt;&gt;"",Berechnung!P27&lt;&gt;""),"Planungsnachweis(e) Nutzungsgrad / Jahresarbeitszahl","")</f>
        <v/>
      </c>
      <c r="C167" s="423" t="str" cm="1">
        <f t="array" ref="C167">IFERROR(INDEX(B$163:B$175,SMALL(IF(IF(B$163:B$175="",FALSE,TRUE),ROW(A$1:A$13),""),ROW(B167)-ROW(B$162))),"")</f>
        <v/>
      </c>
    </row>
    <row r="168" spans="2:13">
      <c r="B168" s="423" t="str">
        <f>IF(OR(Berechnung!M34&gt;0,Berechnung!O34&gt;0),"Kostennachweis Erfüllung §13 Abs. 1 KEnG","")</f>
        <v/>
      </c>
      <c r="C168" s="423" t="str" cm="1">
        <f t="array" ref="C168">IFERROR(INDEX(B$163:B$175,SMALL(IF(IF(B$163:B$175="",FALSE,TRUE),ROW(A$1:A$13),""),ROW(B168)-ROW(B$162))),"")</f>
        <v/>
      </c>
    </row>
    <row r="169" spans="2:13">
      <c r="B169" s="423" t="str">
        <f>IF(OR(Berechnung!F44&lt;&gt;"",Berechnung!J44&lt;&gt;"",Berechnung!L44&lt;&gt;"",Berechnung!N44&lt;&gt;"",Berechnung!P44&lt;&gt;""),"Planungsnachweis(e) Raumbedarf","")</f>
        <v/>
      </c>
      <c r="C169" s="423" t="str" cm="1">
        <f t="array" ref="C169">IFERROR(INDEX(B$163:B$175,SMALL(IF(IF(B$163:B$175="",FALSE,TRUE),ROW(A$1:A$13),""),ROW(B169)-ROW(B$162))),"")</f>
        <v/>
      </c>
    </row>
    <row r="170" spans="2:13">
      <c r="B170" s="423" t="str">
        <f>IF(OR(Berechnung!F48&lt;&gt;"",Berechnung!J48&lt;&gt;"",Berechnung!L48&lt;&gt;"",Berechnung!N48&lt;&gt;"",Berechnung!P48&lt;&gt;""),"Kostennachweis(e) Wartungskosten","")</f>
        <v/>
      </c>
      <c r="C170" s="423" t="str" cm="1">
        <f t="array" ref="C170">IFERROR(INDEX(B$163:B$175,SMALL(IF(IF(B$163:B$175="",FALSE,TRUE),ROW(A$1:A$13),""),ROW(B170)-ROW(B$162))),"")</f>
        <v/>
      </c>
    </row>
    <row r="171" spans="2:13">
      <c r="B171" s="423" t="str">
        <f>IF(AND(System_1="",ESW="Ja"),"Nachweis Wärmepumpe Erdsonde technisch nicht möglich","")</f>
        <v/>
      </c>
      <c r="C171" s="423" t="str" cm="1">
        <f t="array" ref="C171">IFERROR(INDEX(B$163:B$175,SMALL(IF(IF(B$163:B$175="",FALSE,TRUE),ROW(A$1:A$13),""),ROW(B171)-ROW(B$162))),"")</f>
        <v/>
      </c>
    </row>
    <row r="172" spans="2:13">
      <c r="B172" s="423" t="str">
        <f>IF(System_2="","Nachweis WP-Luft technisch nicht möglich","")</f>
        <v>Nachweis WP-Luft technisch nicht möglich</v>
      </c>
      <c r="C172" s="423" t="str" cm="1">
        <f t="array" ref="C172">IFERROR(INDEX(B$163:B$175,SMALL(IF(IF(B$163:B$175="",FALSE,TRUE),ROW(A$1:A$13),""),ROW(B172)-ROW(B$162))),"")</f>
        <v/>
      </c>
    </row>
    <row r="173" spans="2:13">
      <c r="B173" s="423" t="str">
        <f>IF(System_3="","Nachweis Holzheizung technisch nicht möglich","")</f>
        <v>Nachweis Holzheizung technisch nicht möglich</v>
      </c>
      <c r="C173" s="423" t="str" cm="1">
        <f t="array" ref="C173">IFERROR(INDEX(B$163:B$175,SMALL(IF(IF(B$163:B$175="",FALSE,TRUE),ROW(A$1:A$13),""),ROW(B173)-ROW(B$162))),"")</f>
        <v/>
      </c>
    </row>
    <row r="174" spans="2:13">
      <c r="B174" s="423" t="str">
        <f>IF(OR(Berechnung!N29&lt;&gt;"",Berechnung!P29&lt;&gt;""),"Nachweis Energieersparnis durch Umsetzung Standardlösung","")</f>
        <v/>
      </c>
      <c r="C174" s="423" t="str" cm="1">
        <f t="array" ref="C174">IFERROR(INDEX(B$163:B$175,SMALL(IF(IF(B$163:B$175="",FALSE,TRUE),ROW(A$1:A$13),""),ROW(B174)-ROW(B$162))),"")</f>
        <v/>
      </c>
    </row>
    <row r="175" spans="2:13">
      <c r="B175" s="423" t="str">
        <f>IF(OR(Berechnung!F36&lt;&gt;"",Berechnung!H36&lt;&gt;"",Berechnung!J36&lt;&gt;"",Berechnung!L36&lt;&gt;"",Berechnung!N36&lt;&gt;"",Berechnung!P36&lt;&gt;"",Berechnung!F37&lt;&gt;"",Berechnung!H37&lt;&gt;"",Berechnung!J37&lt;&gt;"",Berechnung!L37&lt;&gt;"",Berechnung!N37&lt;&gt;"",Berechnung!P37&lt;&gt;""),"Kostennachweis Investitionskosten Amortisationszeit 40 Jahre","")</f>
        <v/>
      </c>
      <c r="C175" s="423" t="str" cm="1">
        <f t="array" ref="C175">IFERROR(INDEX(B$163:B$175,SMALL(IF(IF(B$163:B$175="",FALSE,TRUE),ROW(A$1:A$13),""),ROW(B175)-ROW(B$162))),"")</f>
        <v/>
      </c>
    </row>
    <row r="176" spans="2:13">
      <c r="B176" s="423"/>
      <c r="C176" s="423" t="str" cm="1">
        <f t="array" ref="C176">IFERROR(INDEX(B$163:B$175,SMALL(IF(IF(B$163:B$175="",FALSE,TRUE),ROW(A$1:A$13),""),ROW(B176)-ROW(B$162))),"")</f>
        <v/>
      </c>
    </row>
    <row r="177" spans="2:7">
      <c r="B177" s="423" t="str">
        <f>""</f>
        <v/>
      </c>
      <c r="C177" s="423"/>
    </row>
    <row r="179" spans="2:7">
      <c r="B179" s="24" t="s">
        <v>630</v>
      </c>
    </row>
    <row r="180" spans="2:7">
      <c r="C180" s="3" t="s">
        <v>689</v>
      </c>
      <c r="D180" s="3" t="s">
        <v>688</v>
      </c>
      <c r="E180" s="3" t="s">
        <v>711</v>
      </c>
      <c r="F180" s="3" t="s">
        <v>710</v>
      </c>
    </row>
    <row r="181" spans="2:7">
      <c r="B181" s="3" t="s">
        <v>18</v>
      </c>
      <c r="C181" s="355">
        <v>0</v>
      </c>
      <c r="D181" s="355">
        <v>1.2999999999999999E-2</v>
      </c>
      <c r="E181" s="355">
        <v>0</v>
      </c>
      <c r="F181" s="355">
        <v>1.2E-2</v>
      </c>
      <c r="G181" s="3" t="s">
        <v>634</v>
      </c>
    </row>
    <row r="182" spans="2:7">
      <c r="B182" s="3" t="s">
        <v>42</v>
      </c>
      <c r="C182" s="355">
        <v>0</v>
      </c>
      <c r="D182" s="355">
        <v>0.04</v>
      </c>
      <c r="E182" s="355">
        <v>0</v>
      </c>
      <c r="F182" s="355">
        <v>1.4999999999999999E-2</v>
      </c>
      <c r="G182" s="3" t="s">
        <v>635</v>
      </c>
    </row>
    <row r="183" spans="2:7">
      <c r="B183" s="3" t="s">
        <v>631</v>
      </c>
      <c r="C183" s="355">
        <v>1.28</v>
      </c>
      <c r="D183" s="355">
        <v>0.16600000000000001</v>
      </c>
      <c r="E183" s="355">
        <v>0</v>
      </c>
      <c r="F183" s="355">
        <v>3.7999999999999999E-2</v>
      </c>
      <c r="G183" s="3" t="s">
        <v>636</v>
      </c>
    </row>
    <row r="184" spans="2:7">
      <c r="B184" s="3" t="s">
        <v>744</v>
      </c>
      <c r="C184" s="355">
        <v>2.9000000000000001E-2</v>
      </c>
      <c r="D184" s="355">
        <v>0.3</v>
      </c>
      <c r="E184" s="355">
        <v>0</v>
      </c>
      <c r="F184" s="355">
        <v>0.127</v>
      </c>
      <c r="G184" s="3" t="s">
        <v>636</v>
      </c>
    </row>
    <row r="185" spans="2:7">
      <c r="B185" s="3" t="s">
        <v>407</v>
      </c>
      <c r="C185" s="355">
        <v>1.0733299999999999E-2</v>
      </c>
      <c r="D185" s="355">
        <v>5.4420200000000002E-2</v>
      </c>
      <c r="E185" s="355">
        <v>0</v>
      </c>
      <c r="F185" s="355">
        <v>5.9198399999999991E-3</v>
      </c>
      <c r="G185" s="3" t="s">
        <v>637</v>
      </c>
    </row>
    <row r="186" spans="2:7">
      <c r="B186" s="3" t="s">
        <v>418</v>
      </c>
      <c r="C186" s="355">
        <v>1.1388711176470587</v>
      </c>
      <c r="D186" s="355">
        <v>3.9644058823529296E-2</v>
      </c>
      <c r="E186" s="355">
        <v>0</v>
      </c>
      <c r="F186" s="355">
        <v>1.3167808823529406E-2</v>
      </c>
      <c r="G186" s="3" t="s">
        <v>637</v>
      </c>
    </row>
    <row r="187" spans="2:7">
      <c r="B187" s="3" t="s">
        <v>19</v>
      </c>
      <c r="C187" s="355">
        <v>1.0999999999999999E-2</v>
      </c>
      <c r="D187" s="355">
        <v>1.31</v>
      </c>
      <c r="E187" s="355">
        <v>0.26532</v>
      </c>
      <c r="F187" s="355">
        <v>0.34300000000000003</v>
      </c>
      <c r="G187" s="3" t="s">
        <v>636</v>
      </c>
    </row>
    <row r="188" spans="2:7">
      <c r="B188" s="3" t="s">
        <v>632</v>
      </c>
      <c r="C188" s="355">
        <v>3.0000000000000001E-3</v>
      </c>
      <c r="D188" s="355">
        <v>1.06</v>
      </c>
      <c r="E188" s="355">
        <v>0.20124</v>
      </c>
      <c r="F188" s="355">
        <v>0.23400000000000001</v>
      </c>
      <c r="G188" s="3" t="s">
        <v>636</v>
      </c>
    </row>
    <row r="189" spans="2:7">
      <c r="C189" s="355"/>
    </row>
    <row r="190" spans="2:7">
      <c r="B190" s="3" t="s">
        <v>694</v>
      </c>
    </row>
    <row r="191" spans="2:7">
      <c r="B191" s="3" t="s">
        <v>703</v>
      </c>
      <c r="C191" s="355">
        <v>0.95307897799999997</v>
      </c>
      <c r="D191" s="355">
        <v>0.78417604000000007</v>
      </c>
      <c r="E191" s="355">
        <v>0</v>
      </c>
      <c r="F191" s="355">
        <v>1.7101524E-2</v>
      </c>
      <c r="G191" s="3" t="s">
        <v>633</v>
      </c>
    </row>
    <row r="192" spans="2:7">
      <c r="B192" s="3" t="s">
        <v>695</v>
      </c>
      <c r="C192" s="355">
        <v>1.1579999999999999</v>
      </c>
      <c r="D192" s="355">
        <v>2.4799999999999999E-2</v>
      </c>
      <c r="E192" s="355">
        <v>0</v>
      </c>
      <c r="F192" s="355">
        <v>1.24E-2</v>
      </c>
      <c r="G192" s="3" t="s">
        <v>702</v>
      </c>
    </row>
    <row r="193" spans="2:10">
      <c r="B193" s="3" t="s">
        <v>696</v>
      </c>
      <c r="C193" s="355">
        <v>1.1621159999999999</v>
      </c>
      <c r="D193" s="355">
        <v>3.6304799999999998E-2</v>
      </c>
      <c r="E193" s="355">
        <v>0</v>
      </c>
      <c r="F193" s="355">
        <v>1.5408E-2</v>
      </c>
      <c r="G193" s="3" t="s">
        <v>702</v>
      </c>
    </row>
    <row r="194" spans="2:10">
      <c r="B194" s="3" t="s">
        <v>697</v>
      </c>
      <c r="C194" s="355">
        <v>1.1579999999999999</v>
      </c>
      <c r="D194" s="355">
        <v>2.4799999999999999E-2</v>
      </c>
      <c r="E194" s="355">
        <v>0</v>
      </c>
      <c r="F194" s="355">
        <v>1.24E-2</v>
      </c>
      <c r="G194" s="3" t="s">
        <v>702</v>
      </c>
    </row>
    <row r="195" spans="2:10">
      <c r="B195" s="3" t="s">
        <v>698</v>
      </c>
      <c r="C195" s="355">
        <v>1.2</v>
      </c>
      <c r="D195" s="355">
        <v>0.159</v>
      </c>
      <c r="E195" s="355">
        <v>0</v>
      </c>
      <c r="F195" s="355">
        <v>4.7600000000000003E-2</v>
      </c>
      <c r="G195" s="3" t="s">
        <v>702</v>
      </c>
    </row>
    <row r="196" spans="2:10">
      <c r="B196" s="3" t="s">
        <v>699</v>
      </c>
      <c r="C196" s="355">
        <v>5.4200000000000003E-3</v>
      </c>
      <c r="D196" s="355">
        <v>4.21</v>
      </c>
      <c r="E196" s="355">
        <v>0</v>
      </c>
      <c r="F196" s="355">
        <v>2.3900000000000001E-2</v>
      </c>
      <c r="G196" s="3" t="s">
        <v>702</v>
      </c>
    </row>
    <row r="197" spans="2:10">
      <c r="B197" s="3" t="s">
        <v>700</v>
      </c>
      <c r="C197" s="355">
        <v>1.1579999999999999</v>
      </c>
      <c r="D197" s="355">
        <v>2.4799999999999999E-2</v>
      </c>
      <c r="E197" s="355">
        <v>0</v>
      </c>
      <c r="F197" s="355">
        <v>1.24E-2</v>
      </c>
      <c r="G197" s="3" t="s">
        <v>702</v>
      </c>
    </row>
    <row r="198" spans="2:10">
      <c r="B198" s="3" t="s">
        <v>701</v>
      </c>
      <c r="C198" s="355">
        <v>1.2</v>
      </c>
      <c r="D198" s="355">
        <v>0.159</v>
      </c>
      <c r="E198" s="355">
        <v>0</v>
      </c>
      <c r="F198" s="355">
        <v>4.7600000000000003E-2</v>
      </c>
      <c r="G198" s="3" t="s">
        <v>702</v>
      </c>
      <c r="J198" s="5"/>
    </row>
  </sheetData>
  <mergeCells count="1">
    <mergeCell ref="D117:E117"/>
  </mergeCells>
  <pageMargins left="0.7" right="0.7" top="0.78740157499999996" bottom="0.78740157499999996" header="0.3" footer="0.3"/>
  <pageSetup paperSize="8"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L49"/>
  <sheetViews>
    <sheetView workbookViewId="0">
      <selection activeCell="D53" sqref="D53"/>
    </sheetView>
  </sheetViews>
  <sheetFormatPr baseColWidth="10" defaultRowHeight="15"/>
  <cols>
    <col min="1" max="1" width="4" bestFit="1" customWidth="1"/>
    <col min="2" max="2" width="17" bestFit="1" customWidth="1"/>
    <col min="3" max="3" width="35.140625" bestFit="1" customWidth="1"/>
    <col min="4" max="4" width="60.85546875" bestFit="1" customWidth="1"/>
    <col min="5" max="7" width="13.85546875" customWidth="1"/>
  </cols>
  <sheetData>
    <row r="1" spans="1:12" s="37" customFormat="1">
      <c r="A1" s="37">
        <v>2.1</v>
      </c>
      <c r="B1" s="37" t="s">
        <v>188</v>
      </c>
    </row>
    <row r="3" spans="1:12">
      <c r="B3" s="32" t="s">
        <v>93</v>
      </c>
      <c r="C3" s="32" t="s">
        <v>94</v>
      </c>
      <c r="D3" s="32" t="s">
        <v>95</v>
      </c>
      <c r="E3" s="32" t="s">
        <v>677</v>
      </c>
      <c r="F3" s="32" t="s">
        <v>169</v>
      </c>
      <c r="G3" s="32" t="s">
        <v>170</v>
      </c>
    </row>
    <row r="4" spans="1:12">
      <c r="B4" s="33" t="s">
        <v>19</v>
      </c>
      <c r="C4" s="33" t="s">
        <v>96</v>
      </c>
      <c r="D4" s="33" t="s">
        <v>96</v>
      </c>
      <c r="E4" s="33">
        <v>0.85</v>
      </c>
      <c r="F4" s="33">
        <v>0.85</v>
      </c>
      <c r="G4" s="33">
        <v>0.95</v>
      </c>
      <c r="H4" t="s">
        <v>543</v>
      </c>
    </row>
    <row r="5" spans="1:12" hidden="1">
      <c r="C5" t="s">
        <v>97</v>
      </c>
      <c r="D5" t="s">
        <v>98</v>
      </c>
      <c r="F5">
        <v>0.91</v>
      </c>
      <c r="G5" s="33">
        <v>1</v>
      </c>
    </row>
    <row r="6" spans="1:12" hidden="1">
      <c r="C6" t="s">
        <v>99</v>
      </c>
      <c r="D6" t="s">
        <v>100</v>
      </c>
      <c r="F6">
        <v>0.88</v>
      </c>
      <c r="G6" s="33">
        <v>0.95</v>
      </c>
      <c r="L6" s="3"/>
    </row>
    <row r="7" spans="1:12">
      <c r="B7" s="33" t="s">
        <v>44</v>
      </c>
      <c r="C7" s="33" t="s">
        <v>101</v>
      </c>
      <c r="D7" s="33" t="s">
        <v>101</v>
      </c>
      <c r="E7" s="33">
        <v>0.85</v>
      </c>
      <c r="F7" s="33">
        <v>0.85</v>
      </c>
      <c r="G7" s="33">
        <v>0.95</v>
      </c>
      <c r="H7" t="s">
        <v>543</v>
      </c>
      <c r="L7" s="3"/>
    </row>
    <row r="8" spans="1:12" hidden="1">
      <c r="C8" t="s">
        <v>102</v>
      </c>
      <c r="D8" t="s">
        <v>103</v>
      </c>
      <c r="F8">
        <v>0.95</v>
      </c>
      <c r="G8">
        <v>1</v>
      </c>
      <c r="L8" s="3"/>
    </row>
    <row r="9" spans="1:12" hidden="1">
      <c r="C9" t="s">
        <v>104</v>
      </c>
      <c r="D9" t="s">
        <v>105</v>
      </c>
      <c r="F9">
        <v>0.92</v>
      </c>
      <c r="G9">
        <v>0.95</v>
      </c>
      <c r="L9" s="3"/>
    </row>
    <row r="10" spans="1:12" hidden="1">
      <c r="C10" t="s">
        <v>106</v>
      </c>
      <c r="D10" t="s">
        <v>106</v>
      </c>
      <c r="F10">
        <v>0.7</v>
      </c>
      <c r="G10">
        <v>0.9</v>
      </c>
      <c r="L10" s="3"/>
    </row>
    <row r="11" spans="1:12">
      <c r="B11" s="33" t="s">
        <v>41</v>
      </c>
      <c r="C11" s="33" t="s">
        <v>107</v>
      </c>
      <c r="D11" s="33" t="s">
        <v>107</v>
      </c>
      <c r="E11" s="33">
        <v>0.75</v>
      </c>
      <c r="F11" s="33">
        <v>0.75</v>
      </c>
      <c r="G11" s="33">
        <v>0.9</v>
      </c>
      <c r="H11" t="s">
        <v>543</v>
      </c>
      <c r="L11" s="3"/>
    </row>
    <row r="12" spans="1:12">
      <c r="B12" s="33" t="s">
        <v>40</v>
      </c>
      <c r="C12" s="33" t="s">
        <v>108</v>
      </c>
      <c r="D12" s="33" t="s">
        <v>108</v>
      </c>
      <c r="E12" s="33">
        <v>0.85</v>
      </c>
      <c r="F12" s="33">
        <v>0.85</v>
      </c>
      <c r="G12" s="33">
        <v>0.9</v>
      </c>
      <c r="H12" t="s">
        <v>543</v>
      </c>
      <c r="L12" s="3"/>
    </row>
    <row r="13" spans="1:12" hidden="1">
      <c r="C13" t="s">
        <v>109</v>
      </c>
      <c r="D13" t="s">
        <v>110</v>
      </c>
      <c r="F13">
        <v>1</v>
      </c>
      <c r="G13">
        <v>1</v>
      </c>
      <c r="L13" s="3"/>
    </row>
    <row r="14" spans="1:12" hidden="1">
      <c r="C14" t="s">
        <v>111</v>
      </c>
      <c r="D14" t="s">
        <v>111</v>
      </c>
      <c r="F14">
        <v>0.93</v>
      </c>
      <c r="G14">
        <v>0.95</v>
      </c>
      <c r="L14" s="3"/>
    </row>
    <row r="15" spans="1:12" hidden="1">
      <c r="C15" t="s">
        <v>112</v>
      </c>
      <c r="D15" t="s">
        <v>112</v>
      </c>
      <c r="F15">
        <v>1</v>
      </c>
      <c r="G15">
        <v>1</v>
      </c>
      <c r="L15" s="3"/>
    </row>
    <row r="16" spans="1:12" hidden="1">
      <c r="C16" t="s">
        <v>113</v>
      </c>
      <c r="D16" t="s">
        <v>113</v>
      </c>
      <c r="F16">
        <v>0.9</v>
      </c>
      <c r="G16">
        <v>0.95</v>
      </c>
    </row>
    <row r="17" spans="2:8" hidden="1">
      <c r="C17" t="s">
        <v>114</v>
      </c>
      <c r="D17" t="s">
        <v>115</v>
      </c>
      <c r="F17">
        <v>0.8</v>
      </c>
      <c r="G17">
        <v>0.9</v>
      </c>
    </row>
    <row r="18" spans="2:8" hidden="1">
      <c r="C18" t="s">
        <v>116</v>
      </c>
      <c r="D18" t="s">
        <v>117</v>
      </c>
      <c r="F18">
        <v>0.7</v>
      </c>
      <c r="G18">
        <v>0.9</v>
      </c>
    </row>
    <row r="19" spans="2:8">
      <c r="B19" s="33" t="s">
        <v>209</v>
      </c>
      <c r="C19" s="33" t="s">
        <v>753</v>
      </c>
      <c r="D19" s="33" t="s">
        <v>756</v>
      </c>
      <c r="E19" s="418">
        <v>2.23</v>
      </c>
      <c r="F19" s="418">
        <v>3.3</v>
      </c>
      <c r="G19" s="418">
        <v>4.29</v>
      </c>
      <c r="H19" t="s">
        <v>544</v>
      </c>
    </row>
    <row r="20" spans="2:8">
      <c r="B20" s="33" t="s">
        <v>208</v>
      </c>
      <c r="C20" s="33" t="s">
        <v>753</v>
      </c>
      <c r="D20" s="33" t="s">
        <v>756</v>
      </c>
      <c r="E20" s="418">
        <v>2.23</v>
      </c>
      <c r="F20" s="418">
        <v>3.3</v>
      </c>
      <c r="G20" s="418">
        <v>4.29</v>
      </c>
      <c r="H20" t="s">
        <v>544</v>
      </c>
    </row>
    <row r="21" spans="2:8" hidden="1">
      <c r="C21" t="s">
        <v>118</v>
      </c>
      <c r="D21" t="s">
        <v>119</v>
      </c>
      <c r="E21" s="418"/>
      <c r="F21" s="418">
        <f t="shared" ref="F21:F26" si="0">ROUND(AVERAGE(E21,G21),1)</f>
        <v>5</v>
      </c>
      <c r="G21" s="418">
        <v>5</v>
      </c>
    </row>
    <row r="22" spans="2:8">
      <c r="B22" s="33" t="s">
        <v>42</v>
      </c>
      <c r="C22" s="33" t="s">
        <v>754</v>
      </c>
      <c r="D22" s="33" t="s">
        <v>757</v>
      </c>
      <c r="E22" s="418">
        <v>3.02</v>
      </c>
      <c r="F22" s="418">
        <f t="shared" si="0"/>
        <v>4.3</v>
      </c>
      <c r="G22" s="418">
        <v>5.63</v>
      </c>
      <c r="H22" t="s">
        <v>544</v>
      </c>
    </row>
    <row r="23" spans="2:8" hidden="1">
      <c r="C23" t="s">
        <v>120</v>
      </c>
      <c r="D23" t="s">
        <v>121</v>
      </c>
      <c r="E23" s="418"/>
      <c r="F23" s="418">
        <f t="shared" si="0"/>
        <v>7</v>
      </c>
      <c r="G23" s="418">
        <v>7</v>
      </c>
    </row>
    <row r="24" spans="2:8" hidden="1">
      <c r="C24" t="s">
        <v>122</v>
      </c>
      <c r="D24" t="s">
        <v>123</v>
      </c>
      <c r="E24" s="418"/>
      <c r="F24" s="418">
        <f t="shared" si="0"/>
        <v>10</v>
      </c>
      <c r="G24" s="418">
        <v>10</v>
      </c>
    </row>
    <row r="25" spans="2:8" hidden="1">
      <c r="C25" t="s">
        <v>124</v>
      </c>
      <c r="D25" t="s">
        <v>125</v>
      </c>
      <c r="E25" s="418"/>
      <c r="F25" s="418">
        <f t="shared" si="0"/>
        <v>7</v>
      </c>
      <c r="G25" s="418">
        <v>7</v>
      </c>
    </row>
    <row r="26" spans="2:8">
      <c r="B26" s="33" t="s">
        <v>43</v>
      </c>
      <c r="C26" s="33" t="s">
        <v>755</v>
      </c>
      <c r="D26" s="33" t="s">
        <v>755</v>
      </c>
      <c r="E26" s="418">
        <v>3.02</v>
      </c>
      <c r="F26" s="418">
        <f t="shared" si="0"/>
        <v>4.3</v>
      </c>
      <c r="G26" s="418">
        <v>5.63</v>
      </c>
      <c r="H26" t="s">
        <v>545</v>
      </c>
    </row>
    <row r="27" spans="2:8" hidden="1">
      <c r="C27" t="s">
        <v>126</v>
      </c>
      <c r="D27" t="s">
        <v>127</v>
      </c>
      <c r="F27">
        <v>2.8</v>
      </c>
      <c r="G27">
        <v>7</v>
      </c>
    </row>
    <row r="28" spans="2:8" hidden="1">
      <c r="C28" t="s">
        <v>128</v>
      </c>
      <c r="D28" t="s">
        <v>129</v>
      </c>
      <c r="F28">
        <v>3.2</v>
      </c>
      <c r="G28">
        <v>10</v>
      </c>
    </row>
    <row r="29" spans="2:8" hidden="1">
      <c r="C29" t="s">
        <v>130</v>
      </c>
      <c r="D29" t="s">
        <v>131</v>
      </c>
      <c r="F29">
        <v>2.9</v>
      </c>
      <c r="G29">
        <v>7</v>
      </c>
    </row>
    <row r="30" spans="2:8" hidden="1">
      <c r="C30" t="s">
        <v>132</v>
      </c>
      <c r="D30" t="s">
        <v>133</v>
      </c>
      <c r="F30">
        <v>2.7</v>
      </c>
      <c r="G30">
        <v>8</v>
      </c>
    </row>
    <row r="31" spans="2:8" hidden="1">
      <c r="C31" t="s">
        <v>134</v>
      </c>
      <c r="D31" t="s">
        <v>135</v>
      </c>
      <c r="F31">
        <v>2.7</v>
      </c>
      <c r="G31">
        <v>6</v>
      </c>
    </row>
    <row r="32" spans="2:8" hidden="1">
      <c r="C32" t="s">
        <v>136</v>
      </c>
      <c r="D32" t="s">
        <v>137</v>
      </c>
      <c r="F32">
        <v>2.9</v>
      </c>
      <c r="G32">
        <v>8</v>
      </c>
    </row>
    <row r="33" spans="3:7" hidden="1">
      <c r="C33" t="s">
        <v>138</v>
      </c>
      <c r="D33" t="s">
        <v>139</v>
      </c>
      <c r="F33">
        <v>2.7</v>
      </c>
      <c r="G33">
        <v>6</v>
      </c>
    </row>
    <row r="34" spans="3:7" hidden="1">
      <c r="C34" t="s">
        <v>140</v>
      </c>
      <c r="D34" t="s">
        <v>141</v>
      </c>
      <c r="F34">
        <v>1</v>
      </c>
      <c r="G34">
        <v>1</v>
      </c>
    </row>
    <row r="35" spans="3:7" hidden="1">
      <c r="C35" t="s">
        <v>142</v>
      </c>
      <c r="D35" t="s">
        <v>143</v>
      </c>
      <c r="F35">
        <v>1</v>
      </c>
      <c r="G35">
        <v>1</v>
      </c>
    </row>
    <row r="36" spans="3:7" hidden="1">
      <c r="C36" t="s">
        <v>144</v>
      </c>
      <c r="D36" t="s">
        <v>145</v>
      </c>
      <c r="F36">
        <v>1</v>
      </c>
      <c r="G36">
        <v>1</v>
      </c>
    </row>
    <row r="37" spans="3:7" hidden="1">
      <c r="C37" t="s">
        <v>146</v>
      </c>
      <c r="D37" t="s">
        <v>146</v>
      </c>
      <c r="F37">
        <v>1</v>
      </c>
      <c r="G37">
        <v>1</v>
      </c>
    </row>
    <row r="38" spans="3:7" hidden="1">
      <c r="C38" t="s">
        <v>147</v>
      </c>
      <c r="D38" t="s">
        <v>147</v>
      </c>
      <c r="F38">
        <v>10</v>
      </c>
      <c r="G38">
        <v>10</v>
      </c>
    </row>
    <row r="39" spans="3:7" hidden="1">
      <c r="C39" t="s">
        <v>148</v>
      </c>
      <c r="D39" t="s">
        <v>148</v>
      </c>
      <c r="F39">
        <v>10</v>
      </c>
      <c r="G39">
        <v>10</v>
      </c>
    </row>
    <row r="40" spans="3:7" hidden="1">
      <c r="C40" t="s">
        <v>149</v>
      </c>
      <c r="D40" t="s">
        <v>150</v>
      </c>
      <c r="F40">
        <v>2.2999999999999998</v>
      </c>
      <c r="G40">
        <v>3.5</v>
      </c>
    </row>
    <row r="41" spans="3:7" hidden="1">
      <c r="C41" t="s">
        <v>151</v>
      </c>
      <c r="D41" t="s">
        <v>152</v>
      </c>
      <c r="F41">
        <v>2.7</v>
      </c>
      <c r="G41">
        <v>3.9000000000000004</v>
      </c>
    </row>
    <row r="42" spans="3:7" hidden="1">
      <c r="C42" t="s">
        <v>153</v>
      </c>
      <c r="D42" t="s">
        <v>154</v>
      </c>
      <c r="F42">
        <v>2.5</v>
      </c>
      <c r="G42">
        <v>3.7</v>
      </c>
    </row>
    <row r="43" spans="3:7" hidden="1">
      <c r="C43" t="s">
        <v>155</v>
      </c>
      <c r="D43" t="s">
        <v>156</v>
      </c>
      <c r="F43">
        <v>2.2999999999999998</v>
      </c>
      <c r="G43">
        <v>3.5</v>
      </c>
    </row>
    <row r="44" spans="3:7" hidden="1">
      <c r="C44" t="s">
        <v>157</v>
      </c>
      <c r="D44" t="s">
        <v>158</v>
      </c>
      <c r="F44">
        <v>2.7</v>
      </c>
      <c r="G44">
        <v>3.9000000000000004</v>
      </c>
    </row>
    <row r="45" spans="3:7" hidden="1">
      <c r="C45" t="s">
        <v>159</v>
      </c>
      <c r="D45" t="s">
        <v>160</v>
      </c>
      <c r="F45">
        <v>2.5</v>
      </c>
      <c r="G45">
        <v>3.7</v>
      </c>
    </row>
    <row r="46" spans="3:7" hidden="1">
      <c r="C46" t="s">
        <v>161</v>
      </c>
      <c r="D46" t="s">
        <v>162</v>
      </c>
      <c r="F46">
        <v>0.75</v>
      </c>
      <c r="G46">
        <v>0.85</v>
      </c>
    </row>
    <row r="47" spans="3:7" hidden="1">
      <c r="C47" t="s">
        <v>163</v>
      </c>
      <c r="D47" t="s">
        <v>164</v>
      </c>
      <c r="F47">
        <v>1</v>
      </c>
      <c r="G47">
        <v>1</v>
      </c>
    </row>
    <row r="48" spans="3:7" hidden="1">
      <c r="C48" t="s">
        <v>165</v>
      </c>
      <c r="D48" t="s">
        <v>166</v>
      </c>
      <c r="F48">
        <v>1</v>
      </c>
      <c r="G48">
        <v>1</v>
      </c>
    </row>
    <row r="49" spans="2:8">
      <c r="B49" s="33" t="s">
        <v>423</v>
      </c>
      <c r="C49" s="33" t="s">
        <v>167</v>
      </c>
      <c r="D49" s="33" t="s">
        <v>168</v>
      </c>
      <c r="E49" s="33">
        <v>1</v>
      </c>
      <c r="F49" s="33">
        <v>1</v>
      </c>
      <c r="G49" s="33">
        <v>1</v>
      </c>
      <c r="H49" t="s">
        <v>546</v>
      </c>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pageSetUpPr fitToPage="1"/>
  </sheetPr>
  <dimension ref="A1:AS117"/>
  <sheetViews>
    <sheetView zoomScaleNormal="100" workbookViewId="0">
      <pane ySplit="5" topLeftCell="A68" activePane="bottomLeft" state="frozen"/>
      <selection activeCell="B2" sqref="B2"/>
      <selection pane="bottomLeft" activeCell="F73" sqref="F73"/>
    </sheetView>
  </sheetViews>
  <sheetFormatPr baseColWidth="10" defaultColWidth="10.85546875" defaultRowHeight="15"/>
  <cols>
    <col min="1" max="1" width="3.85546875" style="21" bestFit="1" customWidth="1"/>
    <col min="2" max="2" width="3.85546875" style="21" customWidth="1"/>
    <col min="3" max="3" width="70.42578125" style="16" customWidth="1"/>
    <col min="4" max="4" width="21.5703125" style="16" bestFit="1" customWidth="1"/>
    <col min="5" max="5" width="14" style="21" bestFit="1" customWidth="1"/>
    <col min="6" max="6" width="10.85546875" style="21"/>
    <col min="7" max="8" width="2.5703125" style="21" customWidth="1"/>
    <col min="9" max="9" width="10.5703125" style="21" customWidth="1"/>
    <col min="10" max="45" width="9.42578125" style="21" customWidth="1"/>
    <col min="46" max="16384" width="10.85546875" style="21"/>
  </cols>
  <sheetData>
    <row r="1" spans="1:45" s="38" customFormat="1">
      <c r="A1" s="38">
        <v>2.2999999999999998</v>
      </c>
      <c r="C1" s="15" t="s">
        <v>82</v>
      </c>
      <c r="D1" s="15"/>
    </row>
    <row r="2" spans="1:45" s="38" customFormat="1">
      <c r="C2" s="15"/>
      <c r="D2" s="15"/>
    </row>
    <row r="3" spans="1:45" s="38" customFormat="1">
      <c r="C3" s="72" t="s">
        <v>179</v>
      </c>
      <c r="D3"/>
    </row>
    <row r="4" spans="1:45" s="38" customFormat="1">
      <c r="C4"/>
      <c r="D4"/>
    </row>
    <row r="5" spans="1:45" s="89" customFormat="1" ht="15.75" thickBot="1">
      <c r="C5" s="90"/>
      <c r="D5" s="90"/>
      <c r="G5" s="89">
        <v>2028</v>
      </c>
      <c r="H5" s="89">
        <v>2027</v>
      </c>
      <c r="I5" s="89">
        <v>2026</v>
      </c>
      <c r="J5" s="89">
        <v>2025</v>
      </c>
      <c r="K5" s="89">
        <v>2024</v>
      </c>
      <c r="L5" s="89">
        <v>2023</v>
      </c>
      <c r="M5" s="89">
        <v>2022</v>
      </c>
      <c r="N5" s="89">
        <v>2021</v>
      </c>
      <c r="O5" s="89">
        <v>2020</v>
      </c>
      <c r="P5" s="89">
        <v>2019</v>
      </c>
      <c r="Q5" s="89">
        <v>2018</v>
      </c>
      <c r="R5" s="89">
        <v>2017</v>
      </c>
      <c r="S5" s="89">
        <v>2016</v>
      </c>
      <c r="T5" s="89">
        <v>2015</v>
      </c>
      <c r="U5" s="89">
        <v>2014</v>
      </c>
      <c r="V5" s="89">
        <v>2013</v>
      </c>
      <c r="W5" s="89">
        <v>2012</v>
      </c>
      <c r="X5" s="89">
        <v>2011</v>
      </c>
      <c r="Y5" s="89">
        <v>2010</v>
      </c>
      <c r="Z5" s="89">
        <v>2009</v>
      </c>
      <c r="AA5" s="89">
        <v>2008</v>
      </c>
      <c r="AB5" s="89">
        <v>2007</v>
      </c>
      <c r="AC5" s="89">
        <v>2006</v>
      </c>
      <c r="AD5" s="89">
        <v>2005</v>
      </c>
      <c r="AE5" s="89">
        <v>2004</v>
      </c>
      <c r="AF5" s="89">
        <v>2003</v>
      </c>
      <c r="AG5" s="89">
        <v>2002</v>
      </c>
      <c r="AH5" s="89">
        <v>2001</v>
      </c>
      <c r="AI5" s="89">
        <v>2000</v>
      </c>
      <c r="AJ5" s="89">
        <v>1999</v>
      </c>
      <c r="AK5" s="89">
        <v>1998</v>
      </c>
      <c r="AL5" s="89">
        <v>1997</v>
      </c>
      <c r="AM5" s="89">
        <v>1996</v>
      </c>
      <c r="AN5" s="89">
        <v>1995</v>
      </c>
      <c r="AO5" s="89">
        <v>1994</v>
      </c>
      <c r="AP5" s="89">
        <v>1993</v>
      </c>
      <c r="AQ5" s="89">
        <v>1992</v>
      </c>
      <c r="AR5" s="89">
        <v>1991</v>
      </c>
      <c r="AS5" s="89">
        <v>1990</v>
      </c>
    </row>
    <row r="6" spans="1:45" s="38" customFormat="1">
      <c r="C6"/>
      <c r="D6" s="38" t="s">
        <v>213</v>
      </c>
    </row>
    <row r="7" spans="1:45" s="51" customFormat="1" ht="18.75">
      <c r="C7" s="83" t="s">
        <v>233</v>
      </c>
      <c r="D7" s="95">
        <f>(INDEX(F7:X7,MATCH(TRUE,INDEX(ISNUMBER(F7:X7),0),0)))</f>
        <v>120</v>
      </c>
      <c r="G7" s="170"/>
      <c r="H7" s="170"/>
      <c r="I7" s="170">
        <v>120</v>
      </c>
      <c r="J7" s="170">
        <v>120</v>
      </c>
      <c r="K7" s="170">
        <v>120</v>
      </c>
      <c r="L7" s="170">
        <v>120</v>
      </c>
      <c r="M7" s="170">
        <v>120</v>
      </c>
      <c r="N7" s="170">
        <v>120</v>
      </c>
      <c r="O7" s="51">
        <v>120</v>
      </c>
      <c r="P7" s="51">
        <v>120</v>
      </c>
      <c r="Q7" s="51">
        <v>120</v>
      </c>
      <c r="R7" s="51">
        <v>120</v>
      </c>
    </row>
    <row r="8" spans="1:45" s="85" customFormat="1" ht="18.75">
      <c r="C8" s="86" t="s">
        <v>246</v>
      </c>
      <c r="D8" s="95">
        <f>(INDEX(F8:X8,MATCH(TRUE,INDEX(ISNUMBER(F8:X8),0),0)))</f>
        <v>120</v>
      </c>
      <c r="G8" s="170"/>
      <c r="H8" s="170"/>
      <c r="I8" s="170">
        <v>120</v>
      </c>
      <c r="J8" s="170">
        <v>120</v>
      </c>
      <c r="K8" s="170">
        <v>120</v>
      </c>
      <c r="L8" s="170">
        <v>120</v>
      </c>
      <c r="M8" s="170">
        <v>120</v>
      </c>
      <c r="N8" s="170">
        <v>96</v>
      </c>
      <c r="O8" s="87">
        <v>96</v>
      </c>
      <c r="P8" s="87">
        <v>96</v>
      </c>
      <c r="Q8" s="87">
        <v>96</v>
      </c>
      <c r="R8" s="87">
        <v>84</v>
      </c>
      <c r="S8" s="87">
        <v>84</v>
      </c>
      <c r="T8" s="87">
        <v>60</v>
      </c>
      <c r="U8" s="87">
        <v>60</v>
      </c>
      <c r="V8" s="87">
        <v>36</v>
      </c>
      <c r="W8" s="87">
        <v>36</v>
      </c>
      <c r="X8" s="87">
        <v>36</v>
      </c>
      <c r="Y8" s="87">
        <v>36</v>
      </c>
      <c r="Z8" s="87">
        <v>12</v>
      </c>
      <c r="AA8" s="87">
        <v>12</v>
      </c>
      <c r="AB8" s="87">
        <v>0</v>
      </c>
      <c r="AC8" s="87">
        <v>0</v>
      </c>
      <c r="AD8" s="87">
        <v>0</v>
      </c>
      <c r="AE8" s="87">
        <v>0</v>
      </c>
      <c r="AF8" s="87">
        <v>0</v>
      </c>
      <c r="AG8" s="87">
        <v>0</v>
      </c>
      <c r="AH8" s="87">
        <v>0</v>
      </c>
      <c r="AI8" s="87">
        <v>0</v>
      </c>
      <c r="AJ8" s="87">
        <v>0</v>
      </c>
      <c r="AK8" s="87">
        <v>0</v>
      </c>
      <c r="AL8" s="87">
        <v>0</v>
      </c>
      <c r="AM8" s="87">
        <v>0</v>
      </c>
      <c r="AN8" s="87">
        <v>0</v>
      </c>
      <c r="AO8" s="87">
        <v>0</v>
      </c>
      <c r="AP8" s="87">
        <v>0</v>
      </c>
      <c r="AQ8" s="87">
        <v>0</v>
      </c>
      <c r="AR8" s="87">
        <v>0</v>
      </c>
      <c r="AS8" s="87">
        <v>0</v>
      </c>
    </row>
    <row r="9" spans="1:45" s="85" customFormat="1" ht="18">
      <c r="C9" s="86" t="s">
        <v>214</v>
      </c>
      <c r="D9" s="95">
        <f>(INDEX(F9:X9,MATCH(TRUE,INDEX(ISNUMBER(F9:X9),0),0)))</f>
        <v>120</v>
      </c>
      <c r="G9" s="84" t="str">
        <f>IF(OR(G7=0,G8=0),"",AVERAGE(G7,G8))</f>
        <v/>
      </c>
      <c r="H9" s="84"/>
      <c r="I9" s="84">
        <f>IF(OR(I7=0,I8=0),"",AVERAGE(I7,I8))</f>
        <v>120</v>
      </c>
      <c r="J9" s="84">
        <f>IF(OR(J7=0,J8=0),"",AVERAGE(J7,J8))</f>
        <v>120</v>
      </c>
      <c r="K9" s="84">
        <f t="shared" ref="K9" si="0">IF(OR(K7=0,K8=0),"",AVERAGE(K7,K8))</f>
        <v>120</v>
      </c>
      <c r="L9" s="84">
        <f t="shared" ref="L9:N9" si="1">IF(OR(L7=0,L8=0),"",AVERAGE(L7,L8))</f>
        <v>120</v>
      </c>
      <c r="M9" s="84">
        <f t="shared" ref="M9" si="2">IF(OR(M7=0,M8=0),"",AVERAGE(M7,M8))</f>
        <v>120</v>
      </c>
      <c r="N9" s="84">
        <f t="shared" si="1"/>
        <v>108</v>
      </c>
      <c r="O9" s="87">
        <f>AVERAGE(O7:O8)</f>
        <v>108</v>
      </c>
      <c r="P9" s="87">
        <f t="shared" ref="P9:R9" si="3">AVERAGE(P7:P8)</f>
        <v>108</v>
      </c>
      <c r="Q9" s="87">
        <f t="shared" si="3"/>
        <v>108</v>
      </c>
      <c r="R9" s="87">
        <f t="shared" si="3"/>
        <v>102</v>
      </c>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row>
    <row r="10" spans="1:45" s="85" customFormat="1" ht="18.75">
      <c r="C10" s="86" t="s">
        <v>714</v>
      </c>
      <c r="D10" s="86"/>
      <c r="E10" s="86"/>
      <c r="G10" s="88" t="str">
        <f>IF(G9="","",G9/1000*2.9)</f>
        <v/>
      </c>
      <c r="H10" s="88"/>
      <c r="I10" s="88">
        <f>IF(I9="","",I9/1000*2.9)</f>
        <v>0.34799999999999998</v>
      </c>
      <c r="J10" s="88">
        <f>IF(J9="","",J9/1000*2.9)</f>
        <v>0.34799999999999998</v>
      </c>
      <c r="K10" s="88">
        <f>IF(K9="","",K9/1000*2.9)</f>
        <v>0.34799999999999998</v>
      </c>
      <c r="L10" s="88">
        <f>IF(L9="","",L9/1000*2.9)</f>
        <v>0.34799999999999998</v>
      </c>
      <c r="M10" s="88">
        <f>IF(M9="","",M9/1000*2.65)</f>
        <v>0.318</v>
      </c>
      <c r="N10" s="88">
        <f t="shared" ref="N10:AS10" si="4">IF(N9="","",N9/1000*2.65)</f>
        <v>0.28620000000000001</v>
      </c>
      <c r="O10" s="88">
        <f t="shared" si="4"/>
        <v>0.28620000000000001</v>
      </c>
      <c r="P10" s="88">
        <f t="shared" si="4"/>
        <v>0.28620000000000001</v>
      </c>
      <c r="Q10" s="88">
        <f t="shared" si="4"/>
        <v>0.28620000000000001</v>
      </c>
      <c r="R10" s="88">
        <f t="shared" si="4"/>
        <v>0.27029999999999998</v>
      </c>
      <c r="S10" s="88" t="str">
        <f t="shared" si="4"/>
        <v/>
      </c>
      <c r="T10" s="88" t="str">
        <f t="shared" si="4"/>
        <v/>
      </c>
      <c r="U10" s="88" t="str">
        <f t="shared" si="4"/>
        <v/>
      </c>
      <c r="V10" s="88" t="str">
        <f t="shared" si="4"/>
        <v/>
      </c>
      <c r="W10" s="88" t="str">
        <f t="shared" si="4"/>
        <v/>
      </c>
      <c r="X10" s="88" t="str">
        <f t="shared" si="4"/>
        <v/>
      </c>
      <c r="Y10" s="88" t="str">
        <f t="shared" si="4"/>
        <v/>
      </c>
      <c r="Z10" s="88" t="str">
        <f t="shared" si="4"/>
        <v/>
      </c>
      <c r="AA10" s="88" t="str">
        <f t="shared" si="4"/>
        <v/>
      </c>
      <c r="AB10" s="88" t="str">
        <f t="shared" si="4"/>
        <v/>
      </c>
      <c r="AC10" s="88" t="str">
        <f t="shared" si="4"/>
        <v/>
      </c>
      <c r="AD10" s="88" t="str">
        <f t="shared" si="4"/>
        <v/>
      </c>
      <c r="AE10" s="88" t="str">
        <f t="shared" si="4"/>
        <v/>
      </c>
      <c r="AF10" s="88" t="str">
        <f t="shared" si="4"/>
        <v/>
      </c>
      <c r="AG10" s="88" t="str">
        <f t="shared" si="4"/>
        <v/>
      </c>
      <c r="AH10" s="88" t="str">
        <f t="shared" si="4"/>
        <v/>
      </c>
      <c r="AI10" s="88" t="str">
        <f t="shared" si="4"/>
        <v/>
      </c>
      <c r="AJ10" s="88" t="str">
        <f t="shared" si="4"/>
        <v/>
      </c>
      <c r="AK10" s="88" t="str">
        <f t="shared" si="4"/>
        <v/>
      </c>
      <c r="AL10" s="88" t="str">
        <f t="shared" si="4"/>
        <v/>
      </c>
      <c r="AM10" s="88" t="str">
        <f t="shared" si="4"/>
        <v/>
      </c>
      <c r="AN10" s="88" t="str">
        <f t="shared" si="4"/>
        <v/>
      </c>
      <c r="AO10" s="88" t="str">
        <f t="shared" si="4"/>
        <v/>
      </c>
      <c r="AP10" s="88" t="str">
        <f t="shared" si="4"/>
        <v/>
      </c>
      <c r="AQ10" s="88" t="str">
        <f t="shared" si="4"/>
        <v/>
      </c>
      <c r="AR10" s="88" t="str">
        <f t="shared" si="4"/>
        <v/>
      </c>
      <c r="AS10" s="88" t="str">
        <f t="shared" si="4"/>
        <v/>
      </c>
    </row>
    <row r="11" spans="1:45" s="85" customFormat="1" ht="18.75">
      <c r="C11" s="86" t="s">
        <v>715</v>
      </c>
      <c r="D11" s="86"/>
      <c r="E11" s="86"/>
      <c r="G11" s="88" t="str">
        <f>IF(G9="","",G9/1000*0.22)</f>
        <v/>
      </c>
      <c r="H11" s="88"/>
      <c r="I11" s="88">
        <f>IF(I9="","",I9/1000*0.22)</f>
        <v>2.64E-2</v>
      </c>
      <c r="J11" s="88">
        <f>IF(J9="","",J9/1000*0.22)</f>
        <v>2.64E-2</v>
      </c>
      <c r="K11" s="88">
        <f>IF(K9="","",K9/1000*0.22)</f>
        <v>2.64E-2</v>
      </c>
      <c r="L11" s="88">
        <f t="shared" ref="L11" si="5">IF(L9="","",L9/1000*0.22)</f>
        <v>2.64E-2</v>
      </c>
      <c r="M11" s="88">
        <f>IF(M9="","",M9/1000*0.18075)</f>
        <v>2.1689999999999997E-2</v>
      </c>
      <c r="N11" s="88">
        <f t="shared" ref="N11:AS11" si="6">IF(N9="","",N9/1000*0.18075)</f>
        <v>1.9521E-2</v>
      </c>
      <c r="O11" s="88">
        <f t="shared" si="6"/>
        <v>1.9521E-2</v>
      </c>
      <c r="P11" s="88">
        <f t="shared" si="6"/>
        <v>1.9521E-2</v>
      </c>
      <c r="Q11" s="88">
        <f t="shared" si="6"/>
        <v>1.9521E-2</v>
      </c>
      <c r="R11" s="88">
        <f t="shared" si="6"/>
        <v>1.8436499999999998E-2</v>
      </c>
      <c r="S11" s="88" t="str">
        <f t="shared" si="6"/>
        <v/>
      </c>
      <c r="T11" s="88" t="str">
        <f t="shared" si="6"/>
        <v/>
      </c>
      <c r="U11" s="88" t="str">
        <f t="shared" si="6"/>
        <v/>
      </c>
      <c r="V11" s="88" t="str">
        <f t="shared" si="6"/>
        <v/>
      </c>
      <c r="W11" s="88" t="str">
        <f t="shared" si="6"/>
        <v/>
      </c>
      <c r="X11" s="88" t="str">
        <f t="shared" si="6"/>
        <v/>
      </c>
      <c r="Y11" s="88" t="str">
        <f t="shared" si="6"/>
        <v/>
      </c>
      <c r="Z11" s="88" t="str">
        <f t="shared" si="6"/>
        <v/>
      </c>
      <c r="AA11" s="88" t="str">
        <f t="shared" si="6"/>
        <v/>
      </c>
      <c r="AB11" s="88" t="str">
        <f t="shared" si="6"/>
        <v/>
      </c>
      <c r="AC11" s="88" t="str">
        <f t="shared" si="6"/>
        <v/>
      </c>
      <c r="AD11" s="88" t="str">
        <f t="shared" si="6"/>
        <v/>
      </c>
      <c r="AE11" s="88" t="str">
        <f t="shared" si="6"/>
        <v/>
      </c>
      <c r="AF11" s="88" t="str">
        <f t="shared" si="6"/>
        <v/>
      </c>
      <c r="AG11" s="88" t="str">
        <f t="shared" si="6"/>
        <v/>
      </c>
      <c r="AH11" s="88" t="str">
        <f t="shared" si="6"/>
        <v/>
      </c>
      <c r="AI11" s="88" t="str">
        <f t="shared" si="6"/>
        <v/>
      </c>
      <c r="AJ11" s="88" t="str">
        <f t="shared" si="6"/>
        <v/>
      </c>
      <c r="AK11" s="88" t="str">
        <f t="shared" si="6"/>
        <v/>
      </c>
      <c r="AL11" s="88" t="str">
        <f>IF(AL9="","",AL9/1000*0.18075)</f>
        <v/>
      </c>
      <c r="AM11" s="88" t="str">
        <f t="shared" si="6"/>
        <v/>
      </c>
      <c r="AN11" s="88" t="str">
        <f t="shared" si="6"/>
        <v/>
      </c>
      <c r="AO11" s="88" t="str">
        <f t="shared" si="6"/>
        <v/>
      </c>
      <c r="AP11" s="88" t="str">
        <f t="shared" si="6"/>
        <v/>
      </c>
      <c r="AQ11" s="88" t="str">
        <f t="shared" si="6"/>
        <v/>
      </c>
      <c r="AR11" s="88" t="str">
        <f t="shared" si="6"/>
        <v/>
      </c>
      <c r="AS11" s="88" t="str">
        <f t="shared" si="6"/>
        <v/>
      </c>
    </row>
    <row r="12" spans="1:45" s="51" customFormat="1" ht="17.25">
      <c r="C12" s="110" t="s">
        <v>247</v>
      </c>
      <c r="D12" s="115">
        <f>(INDEX(F12:X12,MATCH(TRUE,INDEX(ISNUMBER(F12:X12),0),0)))</f>
        <v>8.1000000000000003E-2</v>
      </c>
      <c r="E12" s="110"/>
      <c r="F12" s="104"/>
      <c r="G12" s="171"/>
      <c r="H12" s="171"/>
      <c r="I12" s="171">
        <v>8.1000000000000003E-2</v>
      </c>
      <c r="J12" s="171">
        <v>8.1000000000000003E-2</v>
      </c>
      <c r="K12" s="171">
        <v>8.1000000000000003E-2</v>
      </c>
      <c r="L12" s="171">
        <v>7.6999999999999999E-2</v>
      </c>
      <c r="M12" s="171">
        <v>7.6999999999999999E-2</v>
      </c>
      <c r="N12" s="171">
        <v>7.6999999999999999E-2</v>
      </c>
      <c r="O12" s="111">
        <v>7.6999999999999999E-2</v>
      </c>
      <c r="P12" s="112">
        <v>7.6999999999999999E-2</v>
      </c>
      <c r="Q12" s="112">
        <v>7.6999999999999999E-2</v>
      </c>
      <c r="R12" s="112">
        <v>0.08</v>
      </c>
      <c r="S12" s="112">
        <v>0.08</v>
      </c>
      <c r="T12" s="112">
        <v>0.08</v>
      </c>
      <c r="U12" s="112">
        <v>0.08</v>
      </c>
      <c r="V12" s="112">
        <v>0.08</v>
      </c>
      <c r="W12" s="112">
        <v>0.08</v>
      </c>
      <c r="X12" s="112">
        <v>0.08</v>
      </c>
      <c r="Y12" s="112">
        <v>7.5999999999999998E-2</v>
      </c>
      <c r="Z12" s="112">
        <v>7.5999999999999998E-2</v>
      </c>
      <c r="AA12" s="112">
        <v>7.5999999999999998E-2</v>
      </c>
      <c r="AB12" s="112">
        <v>7.5999999999999998E-2</v>
      </c>
      <c r="AC12" s="112">
        <v>7.5999999999999998E-2</v>
      </c>
      <c r="AD12" s="112">
        <v>7.5999999999999998E-2</v>
      </c>
      <c r="AE12" s="112">
        <v>7.5999999999999998E-2</v>
      </c>
      <c r="AF12" s="112">
        <v>7.5999999999999998E-2</v>
      </c>
      <c r="AG12" s="112">
        <v>7.5999999999999998E-2</v>
      </c>
      <c r="AH12" s="112">
        <v>7.5999999999999998E-2</v>
      </c>
      <c r="AI12" s="112">
        <v>7.4999999999999997E-2</v>
      </c>
      <c r="AJ12" s="112">
        <v>7.4999999999999997E-2</v>
      </c>
      <c r="AK12" s="112">
        <v>6.5000000000000002E-2</v>
      </c>
      <c r="AL12" s="112">
        <v>6.5000000000000002E-2</v>
      </c>
      <c r="AM12" s="112">
        <v>6.5000000000000002E-2</v>
      </c>
      <c r="AN12" s="112">
        <v>6.5000000000000002E-2</v>
      </c>
      <c r="AO12" s="112">
        <v>0</v>
      </c>
      <c r="AP12" s="112">
        <v>0</v>
      </c>
      <c r="AQ12" s="112">
        <v>0</v>
      </c>
      <c r="AR12" s="112">
        <v>0</v>
      </c>
      <c r="AS12" s="112">
        <v>0</v>
      </c>
    </row>
    <row r="13" spans="1:45" s="51" customFormat="1" ht="17.25">
      <c r="C13" s="83" t="s">
        <v>249</v>
      </c>
      <c r="D13" s="115">
        <f>AVERAGE(INDEX(F13:Q13,(MATCH(TRUE,INDEX(ISNUMBER(F13:Q13),0),0))),INDEX(F13:Q13,(MATCH(TRUE,INDEX(ISNUMBER(F13:Q13),0),0)+1)),INDEX(F13:Q13,(MATCH(TRUE,INDEX(ISNUMBER(F13:Q13),0),0)+2)),INDEX(F13:Q13,(MATCH(TRUE,INDEX(ISNUMBER(F13:Q13),0),0)+3)))</f>
        <v>1.55E-2</v>
      </c>
      <c r="E13" s="333"/>
      <c r="F13" s="58"/>
      <c r="G13" s="171"/>
      <c r="H13" s="171"/>
      <c r="I13" s="171"/>
      <c r="J13" s="421">
        <v>2E-3</v>
      </c>
      <c r="K13" s="171">
        <v>1.0999999999999999E-2</v>
      </c>
      <c r="L13" s="171">
        <v>2.1000000000000001E-2</v>
      </c>
      <c r="M13" s="171">
        <v>2.8000000000000001E-2</v>
      </c>
      <c r="N13" s="171">
        <v>6.0000000000000001E-3</v>
      </c>
      <c r="O13" s="171">
        <v>-7.0000000000000001E-3</v>
      </c>
      <c r="P13" s="111">
        <v>4.0000000000000001E-3</v>
      </c>
      <c r="Q13" s="111">
        <v>8.9999999999999993E-3</v>
      </c>
      <c r="R13" s="111">
        <v>5.0000000000000001E-3</v>
      </c>
      <c r="S13" s="111">
        <v>-4.0000000000000001E-3</v>
      </c>
      <c r="T13" s="111">
        <v>-1.0999999999999999E-2</v>
      </c>
      <c r="U13" s="111">
        <v>0</v>
      </c>
      <c r="V13" s="111">
        <v>-2E-3</v>
      </c>
      <c r="W13" s="111">
        <v>-7.0000000000000001E-3</v>
      </c>
      <c r="X13" s="111">
        <v>2E-3</v>
      </c>
      <c r="Y13" s="111">
        <v>7.0000000000000001E-3</v>
      </c>
      <c r="Z13" s="111">
        <v>-5.0000000000000001E-3</v>
      </c>
      <c r="AA13" s="111">
        <v>2.4E-2</v>
      </c>
      <c r="AB13" s="111">
        <v>7.0000000000000001E-3</v>
      </c>
      <c r="AC13" s="111">
        <v>1.0999999999999999E-2</v>
      </c>
      <c r="AD13" s="111">
        <v>1.2E-2</v>
      </c>
      <c r="AE13" s="111">
        <v>8.0000000000000002E-3</v>
      </c>
      <c r="AF13" s="111">
        <v>6.0000000000000001E-3</v>
      </c>
      <c r="AG13" s="111">
        <v>6.0000000000000001E-3</v>
      </c>
      <c r="AH13" s="111">
        <v>0.01</v>
      </c>
      <c r="AI13" s="111">
        <v>1.6E-2</v>
      </c>
      <c r="AJ13" s="111">
        <v>8.0000000000000002E-3</v>
      </c>
      <c r="AK13" s="113">
        <v>0</v>
      </c>
      <c r="AL13" s="113">
        <v>5.0000000000000001E-3</v>
      </c>
      <c r="AM13" s="113">
        <v>8.0000000000000002E-3</v>
      </c>
      <c r="AN13" s="113">
        <v>1.7999999999999999E-2</v>
      </c>
      <c r="AO13" s="113">
        <v>8.9999999999999993E-3</v>
      </c>
      <c r="AP13" s="113">
        <v>3.3000000000000002E-2</v>
      </c>
      <c r="AQ13" s="113">
        <v>0.04</v>
      </c>
      <c r="AR13" s="113">
        <v>5.8999999999999997E-2</v>
      </c>
      <c r="AS13" s="113">
        <v>5.3999999999999999E-2</v>
      </c>
    </row>
    <row r="14" spans="1:45" s="104" customFormat="1" ht="17.25">
      <c r="C14" s="110" t="s">
        <v>250</v>
      </c>
      <c r="D14" s="110"/>
      <c r="E14" s="333"/>
      <c r="F14" s="114"/>
      <c r="G14" s="170"/>
      <c r="H14" s="170"/>
      <c r="I14" s="170"/>
      <c r="J14" s="422">
        <v>356.8</v>
      </c>
      <c r="K14" s="170">
        <v>356.3</v>
      </c>
      <c r="L14" s="170">
        <v>352.5</v>
      </c>
      <c r="M14" s="170">
        <v>345.1</v>
      </c>
      <c r="N14" s="170">
        <v>335.6</v>
      </c>
      <c r="O14" s="170">
        <v>333.7</v>
      </c>
      <c r="P14" s="84">
        <v>336.1</v>
      </c>
      <c r="Q14" s="84">
        <v>334.9</v>
      </c>
      <c r="R14" s="84">
        <v>331.8</v>
      </c>
      <c r="S14" s="84">
        <v>330</v>
      </c>
      <c r="T14" s="84">
        <v>331.5</v>
      </c>
      <c r="U14" s="84">
        <v>335.3</v>
      </c>
      <c r="V14" s="84">
        <v>335.4</v>
      </c>
      <c r="W14" s="84">
        <v>336.1</v>
      </c>
      <c r="X14" s="84">
        <v>338.5</v>
      </c>
      <c r="Y14" s="84">
        <v>337.6</v>
      </c>
      <c r="Z14" s="84">
        <v>335.3</v>
      </c>
      <c r="AA14" s="84">
        <v>337</v>
      </c>
      <c r="AB14" s="84">
        <v>329</v>
      </c>
      <c r="AC14" s="84">
        <v>326.60000000000002</v>
      </c>
      <c r="AD14" s="84">
        <v>323.2</v>
      </c>
      <c r="AE14" s="84">
        <v>319.39999999999998</v>
      </c>
      <c r="AF14" s="84">
        <v>316.89999999999998</v>
      </c>
      <c r="AG14" s="84">
        <v>314.89999999999998</v>
      </c>
      <c r="AH14" s="84">
        <v>312.89999999999998</v>
      </c>
      <c r="AI14" s="84">
        <v>309.8</v>
      </c>
      <c r="AJ14" s="84">
        <v>305</v>
      </c>
      <c r="AK14" s="104">
        <v>302.60000000000002</v>
      </c>
      <c r="AL14" s="104">
        <v>302.5</v>
      </c>
      <c r="AM14" s="104">
        <v>301</v>
      </c>
      <c r="AN14" s="104">
        <v>298.60000000000002</v>
      </c>
      <c r="AO14" s="104">
        <v>293.3</v>
      </c>
      <c r="AP14" s="104">
        <v>290.8</v>
      </c>
      <c r="AQ14" s="104">
        <v>281.5</v>
      </c>
      <c r="AR14" s="104">
        <v>270.60000000000002</v>
      </c>
      <c r="AS14" s="104">
        <v>255.6</v>
      </c>
    </row>
    <row r="15" spans="1:45" s="104" customFormat="1" ht="17.25">
      <c r="C15" s="110" t="s">
        <v>333</v>
      </c>
      <c r="D15" s="110"/>
      <c r="E15" s="114"/>
      <c r="F15" s="114"/>
      <c r="G15" s="170"/>
      <c r="H15" s="170"/>
      <c r="I15" s="170"/>
      <c r="J15" s="422">
        <v>115.6</v>
      </c>
      <c r="K15" s="170">
        <v>115.4</v>
      </c>
      <c r="L15" s="170">
        <v>114.2</v>
      </c>
      <c r="M15" s="170">
        <v>111.8</v>
      </c>
      <c r="N15" s="170">
        <v>108.7</v>
      </c>
      <c r="O15" s="170">
        <v>108.1</v>
      </c>
      <c r="P15" s="84">
        <v>108.9</v>
      </c>
      <c r="Q15" s="84">
        <v>108.5</v>
      </c>
      <c r="R15" s="84">
        <v>107.5</v>
      </c>
      <c r="S15" s="84">
        <v>106.9</v>
      </c>
      <c r="T15" s="84">
        <v>107.4</v>
      </c>
      <c r="U15" s="84">
        <v>108.6</v>
      </c>
      <c r="V15" s="84">
        <v>108.6</v>
      </c>
      <c r="W15" s="84">
        <v>108.8</v>
      </c>
      <c r="X15" s="84">
        <v>109.6</v>
      </c>
      <c r="Y15" s="84">
        <v>109.4</v>
      </c>
      <c r="Z15" s="84">
        <v>108.6</v>
      </c>
      <c r="AA15" s="84">
        <v>109.1</v>
      </c>
      <c r="AB15" s="84">
        <v>106.5</v>
      </c>
      <c r="AC15" s="84">
        <v>105.8</v>
      </c>
      <c r="AD15" s="84">
        <v>104.7</v>
      </c>
      <c r="AE15" s="84">
        <v>103.4</v>
      </c>
      <c r="AF15" s="84">
        <v>102.6</v>
      </c>
      <c r="AG15" s="84">
        <v>102</v>
      </c>
      <c r="AH15" s="84">
        <v>101.3</v>
      </c>
      <c r="AI15" s="84">
        <v>100.6</v>
      </c>
      <c r="AJ15" s="84"/>
    </row>
    <row r="16" spans="1:45" s="94" customFormat="1" ht="15.75" thickBot="1">
      <c r="C16" s="96"/>
      <c r="D16" s="96"/>
    </row>
    <row r="17" spans="2:36" ht="45">
      <c r="D17" s="15" t="s">
        <v>223</v>
      </c>
      <c r="E17" s="15" t="s">
        <v>83</v>
      </c>
      <c r="F17" s="38"/>
    </row>
    <row r="18" spans="2:36" s="43" customFormat="1" ht="17.25">
      <c r="C18" s="73" t="s">
        <v>252</v>
      </c>
      <c r="D18" s="73"/>
      <c r="E18" s="333">
        <f>AVERAGE(INDEX(F18:Q18,(MATCH(TRUE,INDEX(ISNUMBER(F18:Q18),0),0))),INDEX(F18:Q18,(MATCH(TRUE,INDEX(ISNUMBER(F18:Q18),0),0)+1)),INDEX(F18:Q18,(MATCH(TRUE,INDEX(ISNUMBER(F18:Q18),0),0)+2)),INDEX(F18:Q18,(MATCH(TRUE,INDEX(ISNUMBER(F18:Q18),0),0)+3)))</f>
        <v>28.771110678282625</v>
      </c>
      <c r="G18" s="172"/>
      <c r="H18" s="172"/>
      <c r="I18" s="39">
        <f>'2.3 Strompreis'!I51</f>
        <v>30.873905013192612</v>
      </c>
      <c r="J18" s="39">
        <f>'2.3 Strompreis'!J51</f>
        <v>27.828029903254176</v>
      </c>
      <c r="K18" s="39">
        <f>'2.3 Strompreis'!K51</f>
        <v>29.716439195100612</v>
      </c>
      <c r="L18" s="39">
        <f>'2.3 Strompreis'!L51</f>
        <v>26.666068601583113</v>
      </c>
      <c r="M18" s="39">
        <f>'2.3 Strompreis'!M51</f>
        <v>21.222356541698549</v>
      </c>
      <c r="N18" s="39">
        <f>'2.3 Strompreis'!N51</f>
        <v>21.108513641646834</v>
      </c>
      <c r="O18" s="39">
        <f>'2.3 Strompreis'!O51</f>
        <v>20.842283422925252</v>
      </c>
      <c r="P18" s="39">
        <f>'2.3 Strompreis'!P51</f>
        <v>20.522267132784421</v>
      </c>
      <c r="Q18" s="39">
        <f>'2.3 Strompreis'!Q51</f>
        <v>24.520957587983411</v>
      </c>
      <c r="R18" s="39"/>
      <c r="S18" s="39"/>
      <c r="T18" s="39"/>
      <c r="U18" s="39"/>
      <c r="V18" s="39"/>
      <c r="W18" s="39"/>
      <c r="X18" s="39"/>
      <c r="Y18" s="39"/>
      <c r="Z18" s="39"/>
      <c r="AA18" s="39"/>
      <c r="AB18" s="39"/>
      <c r="AC18" s="39"/>
      <c r="AD18" s="39"/>
      <c r="AE18" s="39"/>
      <c r="AF18" s="39"/>
      <c r="AG18" s="39"/>
      <c r="AH18" s="39"/>
      <c r="AI18" s="39"/>
      <c r="AJ18" s="39"/>
    </row>
    <row r="19" spans="2:36" s="43" customFormat="1" ht="17.25">
      <c r="B19" s="43" t="s">
        <v>215</v>
      </c>
      <c r="C19" s="73" t="s">
        <v>251</v>
      </c>
      <c r="D19" s="336">
        <f>E18+E18*$D$12</f>
        <v>31.101570643223518</v>
      </c>
      <c r="E19" s="334"/>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row>
    <row r="20" spans="2:36" s="43" customFormat="1" ht="17.25">
      <c r="C20" s="73" t="s">
        <v>253</v>
      </c>
      <c r="D20" s="73"/>
      <c r="E20" s="333">
        <f>AVERAGE(INDEX(F20:Q20,(MATCH(TRUE,INDEX(ISNUMBER(F20:Q20),0),0))),INDEX(F20:Q20,(MATCH(TRUE,INDEX(ISNUMBER(F20:Q20),0),0)+1)),INDEX(F20:Q20,(MATCH(TRUE,INDEX(ISNUMBER(F20:Q20),0),0)+2)),INDEX(F20:Q20,(MATCH(TRUE,INDEX(ISNUMBER(F20:Q20),0),0)+3)))</f>
        <v>28.012049287044924</v>
      </c>
      <c r="G20" s="172"/>
      <c r="H20" s="172"/>
      <c r="I20" s="39">
        <f>'2.3 Strompreis'!I53</f>
        <v>28.690228671943711</v>
      </c>
      <c r="J20" s="39">
        <f>'2.3 Strompreis'!J53</f>
        <v>27.459683377308707</v>
      </c>
      <c r="K20" s="39">
        <f>'2.3 Strompreis'!K53</f>
        <v>29.469973753280843</v>
      </c>
      <c r="L20" s="39">
        <f>'2.3 Strompreis'!L53</f>
        <v>26.428311345646435</v>
      </c>
      <c r="M20" s="39">
        <f>'2.3 Strompreis'!M53</f>
        <v>20.983649579188985</v>
      </c>
      <c r="N20" s="39">
        <f>'2.3 Strompreis'!N53</f>
        <v>20.866216325179984</v>
      </c>
      <c r="O20" s="39">
        <f>'2.3 Strompreis'!O53</f>
        <v>20.59071890290452</v>
      </c>
      <c r="P20" s="39">
        <f>'2.3 Strompreis'!P53</f>
        <v>20.268429992165661</v>
      </c>
      <c r="Q20" s="39">
        <f>'2.3 Strompreis'!Q53</f>
        <v>22.555068659748933</v>
      </c>
      <c r="R20" s="39"/>
      <c r="S20" s="39"/>
      <c r="T20" s="39"/>
      <c r="U20" s="39"/>
      <c r="V20" s="39"/>
      <c r="W20" s="39"/>
      <c r="X20" s="39"/>
      <c r="Y20" s="39"/>
      <c r="Z20" s="39"/>
      <c r="AA20" s="39"/>
      <c r="AB20" s="39"/>
      <c r="AC20" s="39"/>
      <c r="AD20" s="39"/>
      <c r="AE20" s="39"/>
      <c r="AF20" s="39"/>
      <c r="AG20" s="39"/>
      <c r="AH20" s="39"/>
      <c r="AI20" s="39"/>
      <c r="AJ20" s="39"/>
    </row>
    <row r="21" spans="2:36" s="43" customFormat="1" ht="17.25">
      <c r="B21" s="43" t="s">
        <v>216</v>
      </c>
      <c r="C21" s="73" t="s">
        <v>254</v>
      </c>
      <c r="D21" s="336">
        <f>E20+E20*$D$12</f>
        <v>30.281025279295562</v>
      </c>
      <c r="E21" s="334"/>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row>
    <row r="22" spans="2:36" s="43" customFormat="1" ht="17.25">
      <c r="C22" s="73" t="s">
        <v>255</v>
      </c>
      <c r="D22" s="73"/>
      <c r="E22" s="333">
        <f>AVERAGE(INDEX(F22:Q22,(MATCH(TRUE,INDEX(ISNUMBER(F22:Q22),0),0))),INDEX(F22:Q22,(MATCH(TRUE,INDEX(ISNUMBER(F22:Q22),0),0)+1)),INDEX(F22:Q22,(MATCH(TRUE,INDEX(ISNUMBER(F22:Q22),0),0)+2)),INDEX(F22:Q22,(MATCH(TRUE,INDEX(ISNUMBER(F22:Q22),0),0)+3)))</f>
        <v>25.796474386941739</v>
      </c>
      <c r="G22" s="172"/>
      <c r="H22" s="172"/>
      <c r="I22" s="39">
        <f>'2.3 Strompreis'!I55</f>
        <v>26.091855760773967</v>
      </c>
      <c r="J22" s="39">
        <f>'2.3 Strompreis'!J55</f>
        <v>25.443535620052771</v>
      </c>
      <c r="K22" s="39">
        <f>'2.3 Strompreis'!K55</f>
        <v>27.282414698162732</v>
      </c>
      <c r="L22" s="39">
        <f>'2.3 Strompreis'!L55</f>
        <v>24.368091468777486</v>
      </c>
      <c r="M22" s="39">
        <f>'2.3 Strompreis'!M55</f>
        <v>18.917406273909716</v>
      </c>
      <c r="N22" s="39">
        <f>'2.3 Strompreis'!N55</f>
        <v>18.767297279136674</v>
      </c>
      <c r="O22" s="39">
        <f>'2.3 Strompreis'!O55</f>
        <v>18.353382468464829</v>
      </c>
      <c r="P22" s="39">
        <f>'2.3 Strompreis'!P55</f>
        <v>18.008488578143719</v>
      </c>
      <c r="Q22" s="39">
        <f>'2.3 Strompreis'!Q55</f>
        <v>18.550206587330418</v>
      </c>
      <c r="R22" s="39"/>
      <c r="S22" s="39"/>
      <c r="T22" s="39"/>
      <c r="U22" s="39"/>
      <c r="V22" s="39"/>
      <c r="W22" s="39"/>
      <c r="X22" s="39"/>
      <c r="Y22" s="39"/>
      <c r="Z22" s="39"/>
      <c r="AA22" s="39"/>
      <c r="AB22" s="39"/>
      <c r="AC22" s="39"/>
      <c r="AD22" s="39"/>
      <c r="AE22" s="39"/>
      <c r="AF22" s="39"/>
      <c r="AG22" s="39"/>
      <c r="AH22" s="39"/>
      <c r="AI22" s="39"/>
      <c r="AJ22" s="39"/>
    </row>
    <row r="23" spans="2:36" s="43" customFormat="1" ht="17.25">
      <c r="B23" s="43" t="s">
        <v>217</v>
      </c>
      <c r="C23" s="73" t="s">
        <v>256</v>
      </c>
      <c r="D23" s="336">
        <f>E22+E22*$D$12</f>
        <v>27.885988812284019</v>
      </c>
      <c r="E23" s="334"/>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row>
    <row r="24" spans="2:36" s="43" customFormat="1" ht="17.25">
      <c r="C24" s="73" t="s">
        <v>257</v>
      </c>
      <c r="D24" s="73"/>
      <c r="E24" s="333">
        <f>AVERAGE(INDEX(F24:Q24,(MATCH(TRUE,INDEX(ISNUMBER(F24:Q24),0),0))),INDEX(F24:Q24,(MATCH(TRUE,INDEX(ISNUMBER(F24:Q24),0),0)+1)),INDEX(F24:Q24,(MATCH(TRUE,INDEX(ISNUMBER(F24:Q24),0),0)+2)),INDEX(F24:Q24,(MATCH(TRUE,INDEX(ISNUMBER(F24:Q24),0),0)+3)))</f>
        <v>27.519213977705292</v>
      </c>
      <c r="G24" s="172"/>
      <c r="H24" s="172"/>
      <c r="I24" s="39">
        <f>'2.3 Strompreis'!I57</f>
        <v>27.097977132805628</v>
      </c>
      <c r="J24" s="39">
        <f>'2.3 Strompreis'!J57</f>
        <v>27.293368513632366</v>
      </c>
      <c r="K24" s="39">
        <f>'2.3 Strompreis'!K57</f>
        <v>29.364138232720912</v>
      </c>
      <c r="L24" s="39">
        <f>'2.3 Strompreis'!L57</f>
        <v>26.321372031662271</v>
      </c>
      <c r="M24" s="39">
        <f>'2.3 Strompreis'!M57</f>
        <v>20.87647283856159</v>
      </c>
      <c r="N24" s="39">
        <f>'2.3 Strompreis'!N57</f>
        <v>20.768378457074434</v>
      </c>
      <c r="O24" s="39">
        <f>'2.3 Strompreis'!O57</f>
        <v>20.483572967634839</v>
      </c>
      <c r="P24" s="39">
        <f>'2.3 Strompreis'!P57</f>
        <v>20.170000000000002</v>
      </c>
      <c r="Q24" s="39">
        <f>'2.3 Strompreis'!Q57</f>
        <v>21.127535546041695</v>
      </c>
      <c r="R24" s="39"/>
      <c r="S24" s="39"/>
      <c r="T24" s="39"/>
      <c r="U24" s="39"/>
      <c r="V24" s="39"/>
      <c r="W24" s="39"/>
      <c r="X24" s="39"/>
      <c r="Y24" s="39"/>
      <c r="Z24" s="39"/>
      <c r="AA24" s="39"/>
      <c r="AB24" s="39"/>
      <c r="AC24" s="39"/>
      <c r="AD24" s="39"/>
      <c r="AE24" s="39"/>
      <c r="AF24" s="39"/>
      <c r="AG24" s="39"/>
      <c r="AH24" s="39"/>
      <c r="AI24" s="39"/>
      <c r="AJ24" s="39"/>
    </row>
    <row r="25" spans="2:36" s="43" customFormat="1" ht="17.25">
      <c r="B25" s="43" t="s">
        <v>218</v>
      </c>
      <c r="C25" s="73" t="s">
        <v>258</v>
      </c>
      <c r="D25" s="336">
        <f>E24+E24*$D$12</f>
        <v>29.748270309899421</v>
      </c>
      <c r="E25" s="334"/>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row>
    <row r="26" spans="2:36" s="43" customFormat="1" ht="17.25">
      <c r="C26" s="73" t="s">
        <v>259</v>
      </c>
      <c r="D26" s="73"/>
      <c r="E26" s="333">
        <f>AVERAGE(INDEX(F26:Q26,(MATCH(TRUE,INDEX(ISNUMBER(F26:Q26),0),0))),INDEX(F26:Q26,(MATCH(TRUE,INDEX(ISNUMBER(F26:Q26),0),0)+1)),INDEX(F26:Q26,(MATCH(TRUE,INDEX(ISNUMBER(F26:Q26),0),0)+2)),INDEX(F26:Q26,(MATCH(TRUE,INDEX(ISNUMBER(F26:Q26),0),0)+3)))</f>
        <v>25.615356523706307</v>
      </c>
      <c r="G26" s="172"/>
      <c r="H26" s="172"/>
      <c r="I26" s="39">
        <f>'2.3 Strompreis'!I59</f>
        <v>25.03796833773087</v>
      </c>
      <c r="J26" s="39">
        <f>'2.3 Strompreis'!J59</f>
        <v>25.544371152154795</v>
      </c>
      <c r="K26" s="39">
        <f>'2.3 Strompreis'!K59</f>
        <v>27.399755030621172</v>
      </c>
      <c r="L26" s="39">
        <f>'2.3 Strompreis'!L59</f>
        <v>24.47933157431838</v>
      </c>
      <c r="M26" s="39">
        <f>'2.3 Strompreis'!M59</f>
        <v>19.034590665646515</v>
      </c>
      <c r="N26" s="39">
        <f>'2.3 Strompreis'!N59</f>
        <v>18.892702870184053</v>
      </c>
      <c r="O26" s="39">
        <f>'2.3 Strompreis'!O59</f>
        <v>18.497864838174202</v>
      </c>
      <c r="P26" s="39">
        <f>'2.3 Strompreis'!P59</f>
        <v>18.152993550723533</v>
      </c>
      <c r="Q26" s="39">
        <f>'2.3 Strompreis'!Q59</f>
        <v>18.070069267832547</v>
      </c>
      <c r="R26" s="39"/>
      <c r="S26" s="39"/>
      <c r="T26" s="39"/>
      <c r="U26" s="39"/>
      <c r="V26" s="39"/>
      <c r="W26" s="39"/>
      <c r="X26" s="39"/>
      <c r="Y26" s="39"/>
      <c r="Z26" s="39"/>
      <c r="AA26" s="39"/>
      <c r="AB26" s="39"/>
      <c r="AC26" s="39"/>
      <c r="AD26" s="39"/>
      <c r="AE26" s="39"/>
      <c r="AF26" s="39"/>
      <c r="AG26" s="39"/>
      <c r="AH26" s="39"/>
      <c r="AI26" s="39"/>
      <c r="AJ26" s="39"/>
    </row>
    <row r="27" spans="2:36" s="43" customFormat="1" ht="17.25">
      <c r="B27" s="43" t="s">
        <v>219</v>
      </c>
      <c r="C27" s="73" t="s">
        <v>260</v>
      </c>
      <c r="D27" s="336">
        <f>E26+E26*$D$12</f>
        <v>27.690200402126518</v>
      </c>
      <c r="E27" s="334"/>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row>
    <row r="28" spans="2:36" s="43" customFormat="1" ht="17.25">
      <c r="C28" s="73" t="s">
        <v>261</v>
      </c>
      <c r="D28" s="73"/>
      <c r="E28" s="333">
        <f>AVERAGE(INDEX(F28:Q28,(MATCH(TRUE,INDEX(ISNUMBER(F28:Q28),0),0))),INDEX(F28:Q28,(MATCH(TRUE,INDEX(ISNUMBER(F28:Q28),0),0)+1)),INDEX(F28:Q28,(MATCH(TRUE,INDEX(ISNUMBER(F28:Q28),0),0)+2)),INDEX(F28:Q28,(MATCH(TRUE,INDEX(ISNUMBER(F28:Q28),0),0)+3)))</f>
        <v>23.907737801739163</v>
      </c>
      <c r="G28" s="172"/>
      <c r="H28" s="172"/>
      <c r="I28" s="39">
        <f>'2.3 Strompreis'!I61</f>
        <v>24.236376429199648</v>
      </c>
      <c r="J28" s="39">
        <f>'2.3 Strompreis'!J61</f>
        <v>23.688830255057169</v>
      </c>
      <c r="K28" s="39">
        <f>'2.3 Strompreis'!K61</f>
        <v>25.256412948381453</v>
      </c>
      <c r="L28" s="39">
        <f>'2.3 Strompreis'!L61</f>
        <v>22.449331574318382</v>
      </c>
      <c r="M28" s="39">
        <f>'2.3 Strompreis'!M61</f>
        <v>17.004590665646518</v>
      </c>
      <c r="N28" s="39">
        <f>'2.3 Strompreis'!N61</f>
        <v>16.837162393205709</v>
      </c>
      <c r="O28" s="39">
        <f>'2.3 Strompreis'!O61</f>
        <v>16.313805704875413</v>
      </c>
      <c r="P28" s="39">
        <f>'2.3 Strompreis'!P61</f>
        <v>15.94524603701344</v>
      </c>
      <c r="Q28" s="39">
        <f>'2.3 Strompreis'!Q61</f>
        <v>14.731849556635956</v>
      </c>
      <c r="R28" s="39"/>
      <c r="S28" s="39"/>
      <c r="T28" s="39"/>
      <c r="U28" s="39"/>
      <c r="V28" s="39"/>
      <c r="W28" s="39"/>
      <c r="X28" s="39"/>
      <c r="Y28" s="39"/>
      <c r="Z28" s="39"/>
      <c r="AA28" s="39"/>
      <c r="AB28" s="39"/>
      <c r="AC28" s="39"/>
      <c r="AD28" s="39"/>
      <c r="AE28" s="39"/>
      <c r="AF28" s="39"/>
      <c r="AG28" s="39"/>
      <c r="AH28" s="39"/>
      <c r="AI28" s="39"/>
      <c r="AJ28" s="39"/>
    </row>
    <row r="29" spans="2:36" s="43" customFormat="1" ht="17.25">
      <c r="B29" s="43" t="s">
        <v>201</v>
      </c>
      <c r="C29" s="73" t="s">
        <v>262</v>
      </c>
      <c r="D29" s="336">
        <f>E28+E28*$D$12</f>
        <v>25.844264563680035</v>
      </c>
      <c r="E29" s="334"/>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row>
    <row r="30" spans="2:36" s="43" customFormat="1" ht="17.25">
      <c r="C30" s="73" t="s">
        <v>263</v>
      </c>
      <c r="D30" s="73"/>
      <c r="E30" s="333">
        <f>AVERAGE(INDEX(F30:Q30,(MATCH(TRUE,INDEX(ISNUMBER(F30:Q30),0),0))),INDEX(F30:Q30,(MATCH(TRUE,INDEX(ISNUMBER(F30:Q30),0),0)+1)),INDEX(F30:Q30,(MATCH(TRUE,INDEX(ISNUMBER(F30:Q30),0),0)+2)),INDEX(F30:Q30,(MATCH(TRUE,INDEX(ISNUMBER(F30:Q30),0),0)+3)))</f>
        <v>25.779638870998646</v>
      </c>
      <c r="G30" s="172"/>
      <c r="H30" s="172"/>
      <c r="I30" s="39">
        <f>'2.3 Strompreis'!I63</f>
        <v>24.519595426561125</v>
      </c>
      <c r="J30" s="39">
        <f>'2.3 Strompreis'!J63</f>
        <v>25.879287598944593</v>
      </c>
      <c r="K30" s="39">
        <f>'2.3 Strompreis'!K63</f>
        <v>27.837069116360453</v>
      </c>
      <c r="L30" s="39">
        <f>'2.3 Strompreis'!L63</f>
        <v>24.882603342128412</v>
      </c>
      <c r="M30" s="39">
        <f>'2.3 Strompreis'!M63</f>
        <v>19.440711553175209</v>
      </c>
      <c r="N30" s="39">
        <f>'2.3 Strompreis'!N63</f>
        <v>19.300270518465521</v>
      </c>
      <c r="O30" s="39">
        <f>'2.3 Strompreis'!O63</f>
        <v>18.933319539211467</v>
      </c>
      <c r="P30" s="39">
        <f>'2.3 Strompreis'!P63</f>
        <v>18.58678675185875</v>
      </c>
      <c r="Q30" s="39">
        <f>'2.3 Strompreis'!Q63</f>
        <v>18.098698505188299</v>
      </c>
      <c r="R30" s="39"/>
      <c r="S30" s="39"/>
      <c r="T30" s="39"/>
      <c r="U30" s="39"/>
      <c r="V30" s="39"/>
      <c r="W30" s="39"/>
      <c r="X30" s="39"/>
      <c r="Y30" s="39"/>
      <c r="Z30" s="39"/>
      <c r="AA30" s="39"/>
      <c r="AB30" s="39"/>
      <c r="AC30" s="39"/>
      <c r="AD30" s="39"/>
      <c r="AE30" s="39"/>
      <c r="AF30" s="39"/>
      <c r="AG30" s="39"/>
      <c r="AH30" s="39"/>
      <c r="AI30" s="39"/>
      <c r="AJ30" s="39"/>
    </row>
    <row r="31" spans="2:36" s="43" customFormat="1" ht="17.25">
      <c r="B31" s="43" t="s">
        <v>202</v>
      </c>
      <c r="C31" s="73" t="s">
        <v>264</v>
      </c>
      <c r="D31" s="336">
        <f>E30+E30*$D$12</f>
        <v>27.867789619549537</v>
      </c>
      <c r="E31" s="334"/>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row>
    <row r="32" spans="2:36" s="43" customFormat="1" ht="17.25">
      <c r="C32" s="73" t="s">
        <v>265</v>
      </c>
      <c r="D32" s="73"/>
      <c r="E32" s="333">
        <f>AVERAGE(INDEX(F32:Q32,(MATCH(TRUE,INDEX(ISNUMBER(F32:Q32),0),0))),INDEX(F32:Q32,(MATCH(TRUE,INDEX(ISNUMBER(F32:Q32),0),0)+1)),INDEX(F32:Q32,(MATCH(TRUE,INDEX(ISNUMBER(F32:Q32),0),0)+2)),INDEX(F32:Q32,(MATCH(TRUE,INDEX(ISNUMBER(F32:Q32),0),0)+3)))</f>
        <v>27.310594804442317</v>
      </c>
      <c r="G32" s="172"/>
      <c r="H32" s="172"/>
      <c r="I32" s="39">
        <f>'2.3 Strompreis'!I65</f>
        <v>26.317774846086191</v>
      </c>
      <c r="J32" s="39">
        <f>'2.3 Strompreis'!J65</f>
        <v>27.230114335971855</v>
      </c>
      <c r="K32" s="39">
        <f>'2.3 Strompreis'!K65</f>
        <v>29.364138232720912</v>
      </c>
      <c r="L32" s="39">
        <f>'2.3 Strompreis'!L65</f>
        <v>26.330351802990329</v>
      </c>
      <c r="M32" s="39">
        <f>'2.3 Strompreis'!M65</f>
        <v>20.885531752104054</v>
      </c>
      <c r="N32" s="39">
        <f>'2.3 Strompreis'!N65</f>
        <v>20.766621729576464</v>
      </c>
      <c r="O32" s="39">
        <f>'2.3 Strompreis'!O65</f>
        <v>20.481923971472987</v>
      </c>
      <c r="P32" s="39">
        <f>'2.3 Strompreis'!P65</f>
        <v>20.158429992165658</v>
      </c>
      <c r="Q32" s="39">
        <f>'2.3 Strompreis'!Q65</f>
        <v>20.471029288150415</v>
      </c>
      <c r="R32" s="39"/>
      <c r="S32" s="39"/>
      <c r="T32" s="39"/>
      <c r="U32" s="39"/>
      <c r="V32" s="39"/>
      <c r="W32" s="39"/>
      <c r="X32" s="39"/>
      <c r="Y32" s="39"/>
      <c r="Z32" s="39"/>
      <c r="AA32" s="39"/>
      <c r="AB32" s="39"/>
      <c r="AC32" s="39"/>
      <c r="AD32" s="39"/>
      <c r="AE32" s="39"/>
      <c r="AF32" s="39"/>
      <c r="AG32" s="39"/>
      <c r="AH32" s="39"/>
      <c r="AI32" s="39"/>
      <c r="AJ32" s="39"/>
    </row>
    <row r="33" spans="2:45" s="43" customFormat="1" ht="17.25">
      <c r="B33" s="43" t="s">
        <v>220</v>
      </c>
      <c r="C33" s="73" t="s">
        <v>266</v>
      </c>
      <c r="D33" s="336">
        <f>E32+E32*$D$12</f>
        <v>29.522752983602146</v>
      </c>
      <c r="E33" s="334"/>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row>
    <row r="34" spans="2:45" s="43" customFormat="1" ht="17.25">
      <c r="C34" s="73" t="s">
        <v>267</v>
      </c>
      <c r="D34" s="73"/>
      <c r="E34" s="333">
        <f>AVERAGE(INDEX(F34:Q34,(MATCH(TRUE,INDEX(ISNUMBER(F34:Q34),0),0))),INDEX(F34:Q34,(MATCH(TRUE,INDEX(ISNUMBER(F34:Q34),0),0)+1)),INDEX(F34:Q34,(MATCH(TRUE,INDEX(ISNUMBER(F34:Q34),0),0)+2)),INDEX(F34:Q34,(MATCH(TRUE,INDEX(ISNUMBER(F34:Q34),0),0)+3)))</f>
        <v>27.981348676237367</v>
      </c>
      <c r="F34" s="173"/>
      <c r="G34" s="172"/>
      <c r="H34" s="172"/>
      <c r="I34" s="39">
        <f>'2.3 Strompreis'!I67</f>
        <v>26.917581354441513</v>
      </c>
      <c r="J34" s="39">
        <f>'2.3 Strompreis'!J67</f>
        <v>27.885839929639403</v>
      </c>
      <c r="K34" s="39">
        <f>'2.3 Strompreis'!K67</f>
        <v>30.099370078740158</v>
      </c>
      <c r="L34" s="39">
        <f>'2.3 Strompreis'!L67</f>
        <v>27.022603342128406</v>
      </c>
      <c r="M34" s="39">
        <f>'2.3 Strompreis'!M67</f>
        <v>21.508240244835498</v>
      </c>
      <c r="N34" s="39">
        <f>'2.3 Strompreis'!N67</f>
        <v>21.39959474492424</v>
      </c>
      <c r="O34" s="39">
        <f>'2.3 Strompreis'!O67</f>
        <v>21.151839495331867</v>
      </c>
      <c r="P34" s="39">
        <f>'2.3 Strompreis'!P67</f>
        <v>20.835333915980527</v>
      </c>
      <c r="Q34" s="39">
        <f>'2.3 Strompreis'!Q67</f>
        <v>21.248563618024885</v>
      </c>
      <c r="R34" s="39"/>
      <c r="S34" s="39"/>
      <c r="T34" s="39"/>
      <c r="U34" s="39"/>
      <c r="V34" s="39"/>
      <c r="W34" s="39"/>
      <c r="X34" s="39"/>
      <c r="Y34" s="39"/>
      <c r="Z34" s="39"/>
      <c r="AA34" s="39"/>
      <c r="AB34" s="39"/>
      <c r="AC34" s="39"/>
      <c r="AD34" s="39"/>
      <c r="AE34" s="39"/>
      <c r="AF34" s="39"/>
      <c r="AG34" s="39"/>
      <c r="AH34" s="39"/>
      <c r="AI34" s="39"/>
      <c r="AJ34" s="39"/>
    </row>
    <row r="35" spans="2:45" s="43" customFormat="1" ht="17.25">
      <c r="B35" s="43" t="s">
        <v>221</v>
      </c>
      <c r="C35" s="73" t="s">
        <v>268</v>
      </c>
      <c r="D35" s="336">
        <f>E34+E34*$D$12</f>
        <v>30.247837919012593</v>
      </c>
      <c r="E35" s="334"/>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row>
    <row r="36" spans="2:45" s="43" customFormat="1" ht="17.25">
      <c r="C36" s="73" t="s">
        <v>269</v>
      </c>
      <c r="D36" s="73"/>
      <c r="E36" s="333">
        <f>AVERAGE(INDEX(F36:Q36,(MATCH(TRUE,INDEX(ISNUMBER(F36:Q36),0),0))),INDEX(F36:Q36,(MATCH(TRUE,INDEX(ISNUMBER(F36:Q36),0),0)+1)),INDEX(F36:Q36,(MATCH(TRUE,INDEX(ISNUMBER(F36:Q36),0),0)+2)),INDEX(F36:Q36,(MATCH(TRUE,INDEX(ISNUMBER(F36:Q36),0),0)+3)))</f>
        <v>27.604146889290554</v>
      </c>
      <c r="G36" s="172"/>
      <c r="H36" s="172"/>
      <c r="I36" s="39">
        <f>'2.3 Strompreis'!I69</f>
        <v>25.933509234828495</v>
      </c>
      <c r="J36" s="39">
        <f>'2.3 Strompreis'!J69</f>
        <v>27.636675461741426</v>
      </c>
      <c r="K36" s="39">
        <f>'2.3 Strompreis'!K69</f>
        <v>29.956657917760282</v>
      </c>
      <c r="L36" s="39">
        <f>'2.3 Strompreis'!L69</f>
        <v>26.889744942832017</v>
      </c>
      <c r="M36" s="39">
        <f>'2.3 Strompreis'!M69</f>
        <v>21.447299158377966</v>
      </c>
      <c r="N36" s="39">
        <f>'2.3 Strompreis'!N69</f>
        <v>21.35743253836943</v>
      </c>
      <c r="O36" s="39">
        <f>'2.3 Strompreis'!O69</f>
        <v>21.109513834336052</v>
      </c>
      <c r="P36" s="39">
        <f>'2.3 Strompreis'!P69</f>
        <v>20.81</v>
      </c>
      <c r="Q36" s="39">
        <f>'2.3 Strompreis'!Q69</f>
        <v>20.260000000000002</v>
      </c>
      <c r="R36" s="39"/>
      <c r="S36" s="39"/>
      <c r="T36" s="39"/>
      <c r="U36" s="39"/>
      <c r="V36" s="39"/>
      <c r="W36" s="39"/>
      <c r="X36" s="39"/>
      <c r="Y36" s="39"/>
      <c r="Z36" s="39"/>
      <c r="AA36" s="39"/>
      <c r="AB36" s="39"/>
      <c r="AC36" s="39"/>
      <c r="AD36" s="39"/>
      <c r="AE36" s="39"/>
      <c r="AF36" s="39"/>
      <c r="AG36" s="39"/>
      <c r="AH36" s="39"/>
      <c r="AI36" s="39"/>
      <c r="AJ36" s="39"/>
    </row>
    <row r="37" spans="2:45" s="43" customFormat="1" ht="17.25">
      <c r="B37" s="43" t="s">
        <v>222</v>
      </c>
      <c r="C37" s="73" t="s">
        <v>270</v>
      </c>
      <c r="D37" s="336">
        <f>E36+E36*$D$12</f>
        <v>29.840082787323091</v>
      </c>
      <c r="E37" s="334"/>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row>
    <row r="38" spans="2:45" s="43" customFormat="1" ht="17.25">
      <c r="C38" s="73" t="s">
        <v>271</v>
      </c>
      <c r="D38" s="73"/>
      <c r="E38" s="333">
        <f>AVERAGE(INDEX(F38:Q38,(MATCH(TRUE,INDEX(ISNUMBER(F38:Q38),0),0))),INDEX(F38:Q38,(MATCH(TRUE,INDEX(ISNUMBER(F38:Q38),0),0)+1)),INDEX(F38:Q38,(MATCH(TRUE,INDEX(ISNUMBER(F38:Q38),0),0)+2)),INDEX(F38:Q38,(MATCH(TRUE,INDEX(ISNUMBER(F38:Q38),0),0)+3)))</f>
        <v>25.094077988767232</v>
      </c>
      <c r="G38" s="172"/>
      <c r="H38" s="172"/>
      <c r="I38" s="39">
        <f>'2.3 Strompreis'!I71</f>
        <v>24.261688654353559</v>
      </c>
      <c r="J38" s="39">
        <f>'2.3 Strompreis'!J71</f>
        <v>24.814142480211082</v>
      </c>
      <c r="K38" s="39">
        <f>'2.3 Strompreis'!K71</f>
        <v>27.120551181102364</v>
      </c>
      <c r="L38" s="39">
        <f>'2.3 Strompreis'!L71</f>
        <v>24.179929639401934</v>
      </c>
      <c r="M38" s="39">
        <f>'2.3 Strompreis'!M71</f>
        <v>19.008592195868403</v>
      </c>
      <c r="N38" s="39">
        <f>'2.3 Strompreis'!N71</f>
        <v>18.829594894244956</v>
      </c>
      <c r="O38" s="39">
        <f>'2.3 Strompreis'!O71</f>
        <v>18.416850268775747</v>
      </c>
      <c r="P38" s="39">
        <f>'2.3 Strompreis'!P71</f>
        <v>17.944417093612724</v>
      </c>
      <c r="Q38" s="39">
        <f>'2.3 Strompreis'!Q71</f>
        <v>17.699519989841068</v>
      </c>
      <c r="R38" s="39"/>
      <c r="S38" s="39"/>
      <c r="T38" s="39"/>
      <c r="U38" s="39"/>
      <c r="V38" s="39"/>
      <c r="W38" s="39"/>
      <c r="X38" s="39"/>
      <c r="Y38" s="39"/>
      <c r="Z38" s="39"/>
      <c r="AA38" s="39"/>
      <c r="AB38" s="39"/>
      <c r="AC38" s="39"/>
      <c r="AD38" s="39"/>
      <c r="AE38" s="39"/>
      <c r="AF38" s="39"/>
      <c r="AG38" s="39"/>
      <c r="AH38" s="39"/>
      <c r="AI38" s="39"/>
      <c r="AJ38" s="39"/>
    </row>
    <row r="39" spans="2:45" s="43" customFormat="1" ht="17.25">
      <c r="B39" s="43" t="s">
        <v>204</v>
      </c>
      <c r="C39" s="73" t="s">
        <v>272</v>
      </c>
      <c r="D39" s="336">
        <f>E38+E38*$D$12</f>
        <v>27.126698305857378</v>
      </c>
      <c r="E39" s="334"/>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row>
    <row r="40" spans="2:45" s="43" customFormat="1" ht="17.25">
      <c r="C40" s="73" t="s">
        <v>273</v>
      </c>
      <c r="D40" s="73"/>
      <c r="E40" s="333">
        <f>AVERAGE(INDEX(F40:Q40,(MATCH(TRUE,INDEX(ISNUMBER(F40:Q40),0),0))),INDEX(F40:Q40,(MATCH(TRUE,INDEX(ISNUMBER(F40:Q40),0),0)+1)),INDEX(F40:Q40,(MATCH(TRUE,INDEX(ISNUMBER(F40:Q40),0),0)+2)),INDEX(F40:Q40,(MATCH(TRUE,INDEX(ISNUMBER(F40:Q40),0),0)+3)))</f>
        <v>24.145185891176531</v>
      </c>
      <c r="G40" s="172"/>
      <c r="H40" s="172"/>
      <c r="I40" s="39">
        <f>'2.3 Strompreis'!I73</f>
        <v>23.782515391380826</v>
      </c>
      <c r="J40" s="39">
        <f>'2.3 Strompreis'!J73</f>
        <v>23.771072999120495</v>
      </c>
      <c r="K40" s="39">
        <f>'2.3 Strompreis'!K73</f>
        <v>25.947427821522307</v>
      </c>
      <c r="L40" s="39">
        <f>'2.3 Strompreis'!L73</f>
        <v>23.0797273526825</v>
      </c>
      <c r="M40" s="39">
        <f>'2.3 Strompreis'!M73</f>
        <v>17.858003060443764</v>
      </c>
      <c r="N40" s="39">
        <f>'2.3 Strompreis'!N73</f>
        <v>17.665135445883656</v>
      </c>
      <c r="O40" s="39">
        <f>'2.3 Strompreis'!O73</f>
        <v>17.215645200207284</v>
      </c>
      <c r="P40" s="39">
        <f>'2.3 Strompreis'!P73</f>
        <v>16.731321017427593</v>
      </c>
      <c r="Q40" s="39">
        <f>'2.3 Strompreis'!Q73</f>
        <v>16.387875804368303</v>
      </c>
      <c r="R40" s="39"/>
      <c r="S40" s="39"/>
      <c r="T40" s="39"/>
      <c r="U40" s="39"/>
      <c r="V40" s="39"/>
      <c r="W40" s="39"/>
      <c r="X40" s="39"/>
      <c r="Y40" s="39"/>
      <c r="Z40" s="39"/>
      <c r="AA40" s="39"/>
      <c r="AB40" s="39"/>
      <c r="AC40" s="39"/>
      <c r="AD40" s="39"/>
      <c r="AE40" s="39"/>
      <c r="AF40" s="39"/>
      <c r="AG40" s="39"/>
      <c r="AH40" s="39"/>
      <c r="AI40" s="39"/>
      <c r="AJ40" s="39"/>
    </row>
    <row r="41" spans="2:45" s="43" customFormat="1" ht="17.25">
      <c r="B41" s="43" t="s">
        <v>205</v>
      </c>
      <c r="C41" s="73" t="s">
        <v>274</v>
      </c>
      <c r="D41" s="336">
        <f>E40+E40*$D$12</f>
        <v>26.100945948361829</v>
      </c>
      <c r="E41" s="334"/>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row>
    <row r="42" spans="2:45" s="43" customFormat="1" ht="17.25">
      <c r="C42" s="73" t="s">
        <v>275</v>
      </c>
      <c r="D42" s="73"/>
      <c r="E42" s="333">
        <f>AVERAGE(INDEX(F42:Q42,(MATCH(TRUE,INDEX(ISNUMBER(F42:Q42),0),0))),INDEX(F42:Q42,(MATCH(TRUE,INDEX(ISNUMBER(F42:Q42),0),0)+1)),INDEX(F42:Q42,(MATCH(TRUE,INDEX(ISNUMBER(F42:Q42),0),0)+2)),INDEX(F42:Q42,(MATCH(TRUE,INDEX(ISNUMBER(F42:Q42),0),0)+3)))</f>
        <v>20.456356132429359</v>
      </c>
      <c r="G42" s="172"/>
      <c r="H42" s="172"/>
      <c r="I42" s="39">
        <f>'2.3 Strompreis'!I75</f>
        <v>21.950307827616534</v>
      </c>
      <c r="J42" s="39">
        <f>'2.3 Strompreis'!J75</f>
        <v>18.573456464379948</v>
      </c>
      <c r="K42" s="39">
        <f>'2.3 Strompreis'!K75</f>
        <v>21.307051618547682</v>
      </c>
      <c r="L42" s="39">
        <f>'2.3 Strompreis'!L75</f>
        <v>19.994608619173267</v>
      </c>
      <c r="M42" s="39">
        <f>'2.3 Strompreis'!M75</f>
        <v>14.989410864575364</v>
      </c>
      <c r="N42" s="39">
        <f>'2.3 Strompreis'!N75</f>
        <v>14.818783936131275</v>
      </c>
      <c r="O42" s="39">
        <f>'2.3 Strompreis'!O75</f>
        <v>14.230761140975083</v>
      </c>
      <c r="P42" s="39">
        <f>'2.3 Strompreis'!P75</f>
        <v>13.862223193300878</v>
      </c>
      <c r="Q42" s="39">
        <f>'2.3 Strompreis'!Q75</f>
        <v>13.794725969087873</v>
      </c>
      <c r="R42" s="39"/>
      <c r="S42" s="39"/>
      <c r="T42" s="39"/>
      <c r="U42" s="39"/>
      <c r="V42" s="39"/>
      <c r="W42" s="39"/>
      <c r="X42" s="39"/>
      <c r="Y42" s="39"/>
      <c r="Z42" s="39"/>
      <c r="AA42" s="39"/>
      <c r="AB42" s="39"/>
      <c r="AC42" s="39"/>
      <c r="AD42" s="39"/>
      <c r="AE42" s="39"/>
      <c r="AF42" s="39"/>
      <c r="AG42" s="39"/>
      <c r="AH42" s="39"/>
      <c r="AI42" s="39"/>
      <c r="AJ42" s="39"/>
    </row>
    <row r="43" spans="2:45" s="43" customFormat="1" ht="17.25">
      <c r="B43" s="43" t="s">
        <v>206</v>
      </c>
      <c r="C43" s="73" t="s">
        <v>276</v>
      </c>
      <c r="D43" s="336">
        <f>E42+E42*$D$12</f>
        <v>22.113320979156139</v>
      </c>
      <c r="E43" s="334"/>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row>
    <row r="44" spans="2:45" s="43" customFormat="1" ht="17.25">
      <c r="C44" s="73" t="s">
        <v>277</v>
      </c>
      <c r="D44" s="73"/>
      <c r="E44" s="333">
        <f>AVERAGE(INDEX(F44:Q44,(MATCH(TRUE,INDEX(ISNUMBER(F44:Q44),0),0))),INDEX(F44:Q44,(MATCH(TRUE,INDEX(ISNUMBER(F44:Q44),0),0)+1)),INDEX(F44:Q44,(MATCH(TRUE,INDEX(ISNUMBER(F44:Q44),0),0)+2)),INDEX(F44:Q44,(MATCH(TRUE,INDEX(ISNUMBER(F44:Q44),0),0)+3)))</f>
        <v>20.044603436773571</v>
      </c>
      <c r="G44" s="172"/>
      <c r="H44" s="172"/>
      <c r="I44" s="39">
        <f>'2.3 Strompreis'!I77</f>
        <v>21.511934916446794</v>
      </c>
      <c r="J44" s="39">
        <f>'2.3 Strompreis'!J77</f>
        <v>18.368364116094988</v>
      </c>
      <c r="K44" s="39">
        <f>'2.3 Strompreis'!K77</f>
        <v>21.123928258967631</v>
      </c>
      <c r="L44" s="39">
        <f>'2.3 Strompreis'!L77</f>
        <v>19.17418645558487</v>
      </c>
      <c r="M44" s="39">
        <f>'2.3 Strompreis'!M77</f>
        <v>14.987765876052027</v>
      </c>
      <c r="N44" s="39">
        <f>'2.3 Strompreis'!N77</f>
        <v>14.824594782254419</v>
      </c>
      <c r="O44" s="39">
        <f>'2.3 Strompreis'!O77</f>
        <v>14.245898628630652</v>
      </c>
      <c r="P44" s="39">
        <f>'2.3 Strompreis'!P77</f>
        <v>13.882208546806362</v>
      </c>
      <c r="Q44" s="39">
        <f>'2.3 Strompreis'!Q77</f>
        <v>13.932260298962342</v>
      </c>
      <c r="R44" s="39"/>
      <c r="S44" s="39"/>
      <c r="T44" s="39"/>
      <c r="U44" s="39"/>
      <c r="V44" s="39"/>
      <c r="W44" s="39"/>
      <c r="X44" s="39"/>
      <c r="Y44" s="39"/>
      <c r="Z44" s="39"/>
      <c r="AA44" s="39"/>
      <c r="AB44" s="39"/>
      <c r="AC44" s="39"/>
      <c r="AD44" s="39"/>
      <c r="AE44" s="39"/>
      <c r="AF44" s="39"/>
      <c r="AG44" s="39"/>
      <c r="AH44" s="39"/>
      <c r="AI44" s="39"/>
      <c r="AJ44" s="39"/>
    </row>
    <row r="45" spans="2:45" s="43" customFormat="1" ht="17.25">
      <c r="B45" s="43" t="s">
        <v>207</v>
      </c>
      <c r="C45" s="73" t="s">
        <v>278</v>
      </c>
      <c r="D45" s="336">
        <f>E44+E44*$D$12</f>
        <v>21.668216315152229</v>
      </c>
      <c r="E45" s="334"/>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row>
    <row r="46" spans="2:45" s="43" customFormat="1" ht="17.25">
      <c r="C46" s="73" t="s">
        <v>279</v>
      </c>
      <c r="D46" s="73"/>
      <c r="E46" s="333">
        <f>AVERAGE(INDEX(F46:Q46,(MATCH(TRUE,INDEX(ISNUMBER(F46:Q46),0),0))),INDEX(F46:Q46,(MATCH(TRUE,INDEX(ISNUMBER(F46:Q46),0),0)+1)),INDEX(F46:Q46,(MATCH(TRUE,INDEX(ISNUMBER(F46:Q46),0),0)+2)),INDEX(F46:Q46,(MATCH(TRUE,INDEX(ISNUMBER(F46:Q46),0),0)+3)))</f>
        <v>19.099292585128701</v>
      </c>
      <c r="G46" s="172"/>
      <c r="H46" s="172"/>
      <c r="I46" s="39">
        <f>'2.3 Strompreis'!I79</f>
        <v>20.872145998240981</v>
      </c>
      <c r="J46" s="39">
        <f>'2.3 Strompreis'!J79</f>
        <v>17.355092348284959</v>
      </c>
      <c r="K46" s="39">
        <f>'2.3 Strompreis'!K79</f>
        <v>19.992887139107609</v>
      </c>
      <c r="L46" s="39">
        <f>'2.3 Strompreis'!L79</f>
        <v>18.177044854881267</v>
      </c>
      <c r="M46" s="39">
        <f>'2.3 Strompreis'!M79</f>
        <v>13.946587605202755</v>
      </c>
      <c r="N46" s="39">
        <f>'2.3 Strompreis'!N79</f>
        <v>13.777973127338312</v>
      </c>
      <c r="O46" s="39">
        <f>'2.3 Strompreis'!O79</f>
        <v>13.171564520020727</v>
      </c>
      <c r="P46" s="39">
        <f>'2.3 Strompreis'!P79</f>
        <v>12.80453426556884</v>
      </c>
      <c r="Q46" s="39">
        <f>'2.3 Strompreis'!Q79</f>
        <v>12.646232835062765</v>
      </c>
      <c r="R46" s="39"/>
      <c r="S46" s="39"/>
      <c r="T46" s="39"/>
      <c r="U46" s="39"/>
      <c r="V46" s="39"/>
      <c r="W46" s="39"/>
      <c r="X46" s="39"/>
      <c r="Y46" s="39"/>
      <c r="Z46" s="39"/>
      <c r="AA46" s="39"/>
      <c r="AB46" s="39"/>
      <c r="AC46" s="39"/>
      <c r="AD46" s="39"/>
      <c r="AE46" s="39"/>
      <c r="AF46" s="39"/>
      <c r="AG46" s="39"/>
      <c r="AH46" s="39"/>
      <c r="AI46" s="39"/>
      <c r="AJ46" s="39"/>
    </row>
    <row r="47" spans="2:45" s="91" customFormat="1" ht="18" thickBot="1">
      <c r="B47" s="91" t="s">
        <v>203</v>
      </c>
      <c r="C47" s="92" t="s">
        <v>280</v>
      </c>
      <c r="D47" s="337">
        <f>E46+E46*$D$12</f>
        <v>20.646335284524127</v>
      </c>
      <c r="E47" s="335"/>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row>
    <row r="48" spans="2:45" s="43" customFormat="1" ht="45">
      <c r="C48" s="73"/>
      <c r="D48" s="15" t="s">
        <v>223</v>
      </c>
      <c r="E48" s="15" t="s">
        <v>83</v>
      </c>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row>
    <row r="49" spans="3:45" s="46" customFormat="1" ht="17.25">
      <c r="C49" s="79" t="s">
        <v>282</v>
      </c>
      <c r="D49" s="79"/>
      <c r="G49" s="174"/>
      <c r="H49" s="174"/>
      <c r="I49" s="174"/>
      <c r="J49" s="174">
        <v>2802.43</v>
      </c>
      <c r="K49" s="174">
        <v>2700.74</v>
      </c>
      <c r="L49" s="202">
        <v>3234.7925</v>
      </c>
      <c r="M49" s="202">
        <v>3229.21</v>
      </c>
      <c r="N49" s="202">
        <v>2088.44</v>
      </c>
      <c r="O49" s="202">
        <v>2090.8391666666698</v>
      </c>
      <c r="P49" s="201">
        <v>2135.9791666666665</v>
      </c>
      <c r="Q49" s="201">
        <v>2158.5508333333332</v>
      </c>
      <c r="R49" s="201">
        <v>2157.04</v>
      </c>
      <c r="S49" s="201">
        <v>2179.87</v>
      </c>
      <c r="T49" s="201">
        <v>2286.5100000000002</v>
      </c>
      <c r="U49" s="201">
        <v>2422.46</v>
      </c>
      <c r="V49" s="201">
        <v>2386.98</v>
      </c>
      <c r="W49" s="201">
        <v>2224.11</v>
      </c>
      <c r="X49" s="201">
        <v>2344.2800000000002</v>
      </c>
      <c r="Y49" s="201">
        <v>2378.35</v>
      </c>
      <c r="Z49" s="201">
        <v>2309</v>
      </c>
      <c r="AA49" s="201">
        <v>2180.81</v>
      </c>
      <c r="AB49" s="201">
        <v>2315.3200000000002</v>
      </c>
      <c r="AC49" s="201">
        <v>2047.9</v>
      </c>
      <c r="AD49" s="21"/>
      <c r="AE49" s="21"/>
      <c r="AF49" s="21"/>
      <c r="AG49" s="21"/>
      <c r="AH49" s="21"/>
      <c r="AI49" s="21"/>
      <c r="AJ49" s="21"/>
      <c r="AK49" s="21"/>
      <c r="AL49" s="21"/>
      <c r="AM49" s="21"/>
      <c r="AN49" s="21"/>
      <c r="AO49" s="21"/>
      <c r="AP49" s="21"/>
      <c r="AQ49" s="21"/>
      <c r="AR49" s="21"/>
      <c r="AS49" s="21"/>
    </row>
    <row r="50" spans="3:45" s="46" customFormat="1" ht="17.25">
      <c r="C50" s="79" t="s">
        <v>283</v>
      </c>
      <c r="D50" s="79"/>
      <c r="E50" s="101"/>
      <c r="G50" s="53" t="str">
        <f>IF(G49="","",G49/6000/4.8*100)</f>
        <v/>
      </c>
      <c r="H50" s="53" t="str">
        <f t="shared" ref="H50:P50" si="7">IF(H49="","",H49/6000/4.8*100)</f>
        <v/>
      </c>
      <c r="I50" s="53" t="str">
        <f t="shared" si="7"/>
        <v/>
      </c>
      <c r="J50" s="53">
        <f t="shared" si="7"/>
        <v>9.7306597222222226</v>
      </c>
      <c r="K50" s="53">
        <f t="shared" si="7"/>
        <v>9.3775694444444451</v>
      </c>
      <c r="L50" s="53">
        <f t="shared" si="7"/>
        <v>11.231918402777778</v>
      </c>
      <c r="M50" s="53">
        <f>IF(M49="","",M49/6000/4.8*100)</f>
        <v>11.212534722222223</v>
      </c>
      <c r="N50" s="53">
        <v>7.2515335648148156</v>
      </c>
      <c r="O50" s="53">
        <f t="shared" si="7"/>
        <v>7.259858217592603</v>
      </c>
      <c r="P50" s="53">
        <f t="shared" si="7"/>
        <v>7.4165943287037033</v>
      </c>
      <c r="Q50" s="53">
        <f t="shared" ref="Q50:AC50" si="8">Q49/6000/4.8*100</f>
        <v>7.4949681712962954</v>
      </c>
      <c r="R50" s="53">
        <f t="shared" si="8"/>
        <v>7.4897222222222224</v>
      </c>
      <c r="S50" s="53">
        <f t="shared" si="8"/>
        <v>7.5689930555555547</v>
      </c>
      <c r="T50" s="53">
        <f t="shared" si="8"/>
        <v>7.9392708333333353</v>
      </c>
      <c r="U50" s="53">
        <f t="shared" si="8"/>
        <v>8.4113194444444463</v>
      </c>
      <c r="V50" s="53">
        <f t="shared" si="8"/>
        <v>8.2881250000000009</v>
      </c>
      <c r="W50" s="53">
        <f t="shared" si="8"/>
        <v>7.7226041666666676</v>
      </c>
      <c r="X50" s="53">
        <f t="shared" si="8"/>
        <v>8.1398611111111112</v>
      </c>
      <c r="Y50" s="53">
        <f t="shared" si="8"/>
        <v>8.2581597222222225</v>
      </c>
      <c r="Z50" s="53">
        <f t="shared" si="8"/>
        <v>8.0173611111111125</v>
      </c>
      <c r="AA50" s="53">
        <f t="shared" si="8"/>
        <v>7.5722569444444439</v>
      </c>
      <c r="AB50" s="53">
        <f t="shared" si="8"/>
        <v>8.0393055555555559</v>
      </c>
      <c r="AC50" s="53">
        <f t="shared" si="8"/>
        <v>7.1107638888888891</v>
      </c>
      <c r="AD50" s="21"/>
      <c r="AE50" s="21"/>
      <c r="AF50" s="21"/>
      <c r="AG50" s="21"/>
      <c r="AH50" s="21"/>
      <c r="AI50" s="21"/>
      <c r="AJ50" s="21"/>
      <c r="AK50" s="21"/>
      <c r="AL50" s="21"/>
      <c r="AM50" s="21"/>
      <c r="AN50" s="21"/>
      <c r="AO50" s="21"/>
      <c r="AP50" s="21"/>
      <c r="AQ50" s="21"/>
      <c r="AR50" s="21"/>
      <c r="AS50" s="21"/>
    </row>
    <row r="51" spans="3:45" s="46" customFormat="1">
      <c r="C51" s="79" t="s">
        <v>224</v>
      </c>
      <c r="D51" s="79"/>
      <c r="E51" s="338">
        <f>AVERAGE(INDEX(F51:X51,(MATCH(TRUE,INDEX(ISNUMBER(F51:X51),0),0))),INDEX(F51:X51,(MATCH(TRUE,INDEX(ISNUMBER(F51:X51),0),0)+1)),INDEX(F51:X51,(MATCH(TRUE,INDEX(ISNUMBER(F51:X51),0),0)+2)),INDEX(F51:X51,(MATCH(TRUE,INDEX(ISNUMBER(F51:X51),0),0)+3)))</f>
        <v>9.6290567643497411</v>
      </c>
      <c r="G51" s="53" t="str">
        <f>IF(G50="","",G50/(1+G12))</f>
        <v/>
      </c>
      <c r="H51" s="53" t="str">
        <f t="shared" ref="H51:P51" si="9">IF(H50="","",H50/(1+H12))</f>
        <v/>
      </c>
      <c r="I51" s="53" t="str">
        <f t="shared" si="9"/>
        <v/>
      </c>
      <c r="J51" s="53">
        <f t="shared" si="9"/>
        <v>9.0015353582074216</v>
      </c>
      <c r="K51" s="53">
        <f t="shared" si="9"/>
        <v>8.6749023537876457</v>
      </c>
      <c r="L51" s="53">
        <f t="shared" si="9"/>
        <v>10.428893595893944</v>
      </c>
      <c r="M51" s="53">
        <f t="shared" si="9"/>
        <v>10.410895749509956</v>
      </c>
      <c r="N51" s="53">
        <v>6.7330859469032642</v>
      </c>
      <c r="O51" s="53">
        <f t="shared" si="9"/>
        <v>6.7408154295195946</v>
      </c>
      <c r="P51" s="53">
        <f t="shared" si="9"/>
        <v>6.8863457091027884</v>
      </c>
      <c r="Q51" s="53">
        <f t="shared" ref="Q51:AC51" si="10">Q50/(1+Q12)</f>
        <v>6.9591162221878324</v>
      </c>
      <c r="R51" s="53">
        <f t="shared" si="10"/>
        <v>6.9349279835390947</v>
      </c>
      <c r="S51" s="53">
        <f t="shared" si="10"/>
        <v>7.00832690329218</v>
      </c>
      <c r="T51" s="53">
        <f t="shared" si="10"/>
        <v>7.3511766975308657</v>
      </c>
      <c r="U51" s="53">
        <f t="shared" si="10"/>
        <v>7.7882587448559679</v>
      </c>
      <c r="V51" s="53">
        <f t="shared" si="10"/>
        <v>7.6741898148148149</v>
      </c>
      <c r="W51" s="53">
        <f t="shared" si="10"/>
        <v>7.1505594135802477</v>
      </c>
      <c r="X51" s="53">
        <f t="shared" si="10"/>
        <v>7.5369084362139915</v>
      </c>
      <c r="Y51" s="53">
        <f t="shared" si="10"/>
        <v>7.6748696303180504</v>
      </c>
      <c r="Z51" s="53">
        <f t="shared" si="10"/>
        <v>7.4510790995456428</v>
      </c>
      <c r="AA51" s="53">
        <f t="shared" si="10"/>
        <v>7.0374135171416761</v>
      </c>
      <c r="AB51" s="53">
        <f t="shared" si="10"/>
        <v>7.4714735646427091</v>
      </c>
      <c r="AC51" s="53">
        <f t="shared" si="10"/>
        <v>6.6085166253614203</v>
      </c>
      <c r="AD51" s="21"/>
      <c r="AE51" s="21"/>
      <c r="AF51" s="21"/>
      <c r="AG51" s="21"/>
      <c r="AH51" s="21"/>
      <c r="AI51" s="21"/>
      <c r="AJ51" s="21"/>
      <c r="AK51" s="21"/>
      <c r="AL51" s="21"/>
      <c r="AM51" s="21"/>
      <c r="AN51" s="21"/>
      <c r="AO51" s="21"/>
      <c r="AP51" s="21"/>
      <c r="AQ51" s="21"/>
      <c r="AR51" s="21"/>
      <c r="AS51" s="21"/>
    </row>
    <row r="52" spans="3:45" s="97" customFormat="1" ht="15.75" thickBot="1">
      <c r="C52" s="98" t="s">
        <v>225</v>
      </c>
      <c r="D52" s="102">
        <f>E51+E51*MWST</f>
        <v>10.40901036226207</v>
      </c>
      <c r="E52" s="103"/>
      <c r="G52" s="99"/>
      <c r="H52" s="99"/>
      <c r="I52" s="99"/>
      <c r="J52" s="99"/>
      <c r="K52" s="99"/>
      <c r="L52" s="99"/>
      <c r="M52" s="99"/>
      <c r="N52" s="99"/>
      <c r="O52" s="99"/>
      <c r="P52" s="100"/>
      <c r="Q52" s="100"/>
      <c r="R52" s="100"/>
      <c r="S52" s="100"/>
      <c r="T52" s="100"/>
      <c r="U52" s="100"/>
      <c r="V52" s="100"/>
      <c r="W52" s="100"/>
      <c r="X52" s="100"/>
      <c r="Y52" s="100"/>
      <c r="Z52" s="100"/>
      <c r="AA52" s="100"/>
      <c r="AB52" s="100"/>
      <c r="AC52" s="100"/>
      <c r="AD52" s="94"/>
      <c r="AE52" s="94"/>
      <c r="AF52" s="94"/>
      <c r="AG52" s="94"/>
      <c r="AH52" s="94"/>
      <c r="AI52" s="94"/>
      <c r="AJ52" s="94"/>
      <c r="AK52" s="94"/>
      <c r="AL52" s="94"/>
      <c r="AM52" s="94"/>
      <c r="AN52" s="94"/>
      <c r="AO52" s="94"/>
      <c r="AP52" s="94"/>
      <c r="AQ52" s="94"/>
      <c r="AR52" s="94"/>
      <c r="AS52" s="94"/>
    </row>
    <row r="53" spans="3:45" s="46" customFormat="1" ht="45">
      <c r="C53" s="79"/>
      <c r="D53" s="15" t="s">
        <v>223</v>
      </c>
      <c r="E53" s="15" t="s">
        <v>83</v>
      </c>
      <c r="G53" s="42"/>
      <c r="H53" s="42"/>
      <c r="I53" s="42"/>
      <c r="J53" s="42"/>
      <c r="K53" s="42"/>
      <c r="L53" s="42"/>
      <c r="M53" s="42"/>
      <c r="N53" s="42"/>
      <c r="O53" s="42"/>
      <c r="P53" s="53"/>
      <c r="Q53" s="53"/>
      <c r="R53" s="53"/>
      <c r="S53" s="53"/>
      <c r="T53" s="53"/>
      <c r="U53" s="53"/>
      <c r="V53" s="53"/>
      <c r="W53" s="53"/>
      <c r="X53" s="53"/>
      <c r="Y53" s="53"/>
      <c r="Z53" s="53"/>
      <c r="AA53" s="53"/>
      <c r="AB53" s="53"/>
      <c r="AC53" s="53"/>
      <c r="AD53" s="21"/>
      <c r="AE53" s="21"/>
      <c r="AF53" s="21"/>
      <c r="AG53" s="21"/>
      <c r="AH53" s="21"/>
      <c r="AI53" s="21"/>
      <c r="AJ53" s="21"/>
      <c r="AK53" s="21"/>
      <c r="AL53" s="21"/>
      <c r="AM53" s="21"/>
      <c r="AN53" s="21"/>
      <c r="AO53" s="21"/>
      <c r="AP53" s="21"/>
      <c r="AQ53" s="21"/>
      <c r="AR53" s="21"/>
      <c r="AS53" s="21"/>
    </row>
    <row r="54" spans="3:45" s="46" customFormat="1" ht="17.25">
      <c r="C54" s="124" t="s">
        <v>587</v>
      </c>
      <c r="D54" s="125"/>
      <c r="F54" s="123"/>
      <c r="G54" s="175"/>
      <c r="H54" s="175"/>
      <c r="I54" s="175"/>
      <c r="J54" s="175">
        <v>6</v>
      </c>
      <c r="K54" s="175">
        <v>6</v>
      </c>
      <c r="L54" s="175">
        <v>6</v>
      </c>
      <c r="M54" s="175">
        <v>6</v>
      </c>
      <c r="N54" s="175">
        <v>6</v>
      </c>
      <c r="O54" s="175">
        <v>6</v>
      </c>
      <c r="P54" s="126">
        <v>6</v>
      </c>
      <c r="Q54" s="53"/>
      <c r="R54" s="53"/>
      <c r="S54" s="53"/>
      <c r="T54" s="53"/>
      <c r="U54" s="53"/>
      <c r="V54" s="53"/>
      <c r="W54" s="53"/>
      <c r="X54" s="53"/>
      <c r="Y54" s="53"/>
      <c r="Z54" s="53"/>
      <c r="AA54" s="53"/>
      <c r="AB54" s="53"/>
      <c r="AC54" s="53"/>
      <c r="AD54" s="21"/>
      <c r="AE54" s="21"/>
      <c r="AF54" s="21"/>
      <c r="AG54" s="21"/>
      <c r="AH54" s="21"/>
      <c r="AI54" s="21"/>
      <c r="AJ54" s="21"/>
      <c r="AK54" s="21"/>
      <c r="AL54" s="21"/>
      <c r="AM54" s="21"/>
      <c r="AN54" s="21"/>
      <c r="AO54" s="21"/>
      <c r="AP54" s="21"/>
      <c r="AQ54" s="21"/>
      <c r="AR54" s="21"/>
      <c r="AS54" s="21"/>
    </row>
    <row r="55" spans="3:45" s="46" customFormat="1" ht="17.25">
      <c r="C55" s="124" t="s">
        <v>712</v>
      </c>
      <c r="D55" s="15"/>
      <c r="E55" s="15"/>
      <c r="G55" s="175"/>
      <c r="H55" s="175"/>
      <c r="I55" s="175"/>
      <c r="J55" s="175"/>
      <c r="K55" s="175">
        <v>133.69999999999999</v>
      </c>
      <c r="L55" s="175">
        <v>133.1</v>
      </c>
      <c r="M55" s="408">
        <v>127</v>
      </c>
      <c r="N55" s="175">
        <v>115.1</v>
      </c>
      <c r="O55" s="175">
        <v>112.7</v>
      </c>
      <c r="P55" s="175">
        <v>115.3</v>
      </c>
      <c r="Q55" s="53"/>
      <c r="R55" s="53"/>
      <c r="S55" s="53"/>
      <c r="T55" s="53"/>
      <c r="U55" s="53"/>
      <c r="V55" s="53"/>
      <c r="W55" s="53"/>
      <c r="X55" s="53"/>
      <c r="Y55" s="53"/>
      <c r="Z55" s="53"/>
      <c r="AA55" s="53"/>
      <c r="AB55" s="53"/>
      <c r="AC55" s="53"/>
      <c r="AD55" s="21"/>
      <c r="AE55" s="21"/>
      <c r="AF55" s="21"/>
      <c r="AG55" s="21"/>
      <c r="AH55" s="21"/>
      <c r="AI55" s="21"/>
      <c r="AJ55" s="21"/>
      <c r="AK55" s="21"/>
      <c r="AL55" s="21"/>
      <c r="AM55" s="21"/>
      <c r="AN55" s="21"/>
      <c r="AO55" s="21"/>
      <c r="AP55" s="21"/>
      <c r="AQ55" s="21"/>
      <c r="AR55" s="21"/>
      <c r="AS55" s="21"/>
    </row>
    <row r="56" spans="3:45" s="123" customFormat="1" ht="17.25">
      <c r="C56" s="124" t="s">
        <v>713</v>
      </c>
      <c r="E56" s="339">
        <f>AVERAGE(INDEX(F56:X56,(MATCH(TRUE,INDEX(ISNUMBER(F56:X56),0),0))),INDEX(F56:X56,(MATCH(TRUE,INDEX(ISNUMBER(F56:X56),0),0)+1)),INDEX(F56:X56,(MATCH(TRUE,INDEX(ISNUMBER(F56:X56),0),0)+2)),INDEX(F56:X56,(MATCH(TRUE,INDEX(ISNUMBER(F56:X56),0),0)+3)))</f>
        <v>6.6205550737207277</v>
      </c>
      <c r="G56" s="123" t="str">
        <f t="shared" ref="G56" si="11">IF(G55="","",G54*G55/$P$55)</f>
        <v/>
      </c>
      <c r="H56" s="123" t="str">
        <f t="shared" ref="H56" si="12">IF(H55="","",H54*H55/$P$55)</f>
        <v/>
      </c>
      <c r="I56" s="123" t="str">
        <f t="shared" ref="I56:J56" si="13">IF(I55="","",I54*I55/$P$55)</f>
        <v/>
      </c>
      <c r="J56" s="123" t="str">
        <f t="shared" si="13"/>
        <v/>
      </c>
      <c r="K56" s="123">
        <f t="shared" ref="K56" si="14">IF(K55="","",K54*K55/$P$55)</f>
        <v>6.9575021682567213</v>
      </c>
      <c r="L56" s="123">
        <f t="shared" ref="L56:M56" si="15">IF(L55="","",L54*L55/$P$55)</f>
        <v>6.9262792714657406</v>
      </c>
      <c r="M56" s="123">
        <f t="shared" si="15"/>
        <v>6.6088464874241115</v>
      </c>
      <c r="N56" s="123">
        <f t="shared" ref="N56" si="16">IF(N55="","",N54*N55/$P$55)</f>
        <v>5.9895923677363392</v>
      </c>
      <c r="O56" s="123">
        <f>IF(O55="","",O54*O55/$P$55)</f>
        <v>5.8647007805724201</v>
      </c>
      <c r="P56" s="123">
        <f>IF(P55="","",P54*P55/$P$55)</f>
        <v>6</v>
      </c>
      <c r="Q56" s="126"/>
      <c r="R56" s="126"/>
      <c r="S56" s="126"/>
      <c r="T56" s="126"/>
      <c r="U56" s="126"/>
      <c r="V56" s="126"/>
      <c r="W56" s="126"/>
      <c r="X56" s="126"/>
      <c r="Y56" s="126"/>
      <c r="Z56" s="126"/>
      <c r="AA56" s="126"/>
      <c r="AB56" s="126"/>
      <c r="AC56" s="126"/>
      <c r="AD56" s="127"/>
      <c r="AE56" s="127"/>
      <c r="AF56" s="127"/>
      <c r="AG56" s="127"/>
      <c r="AH56" s="127"/>
      <c r="AI56" s="127"/>
      <c r="AJ56" s="127"/>
      <c r="AK56" s="127"/>
      <c r="AL56" s="127"/>
      <c r="AM56" s="127"/>
      <c r="AN56" s="127"/>
      <c r="AO56" s="127"/>
      <c r="AP56" s="127"/>
      <c r="AQ56" s="127"/>
      <c r="AR56" s="127"/>
      <c r="AS56" s="127"/>
    </row>
    <row r="57" spans="3:45" s="97" customFormat="1" ht="30" customHeight="1" thickBot="1">
      <c r="C57" s="128" t="s">
        <v>299</v>
      </c>
      <c r="D57" s="129">
        <f>E56+E56*MWST</f>
        <v>7.1568200346921067</v>
      </c>
      <c r="E57" s="103"/>
      <c r="G57" s="99"/>
      <c r="H57" s="99"/>
      <c r="I57" s="99"/>
      <c r="J57" s="99"/>
      <c r="K57" s="99"/>
      <c r="L57" s="99"/>
      <c r="M57" s="99"/>
      <c r="N57" s="99"/>
      <c r="O57" s="99"/>
      <c r="P57" s="100"/>
      <c r="Q57" s="100"/>
      <c r="R57" s="100"/>
      <c r="S57" s="100"/>
      <c r="T57" s="100"/>
      <c r="U57" s="100"/>
      <c r="V57" s="100"/>
      <c r="W57" s="100"/>
      <c r="X57" s="100"/>
      <c r="Y57" s="100"/>
      <c r="Z57" s="100"/>
      <c r="AA57" s="100"/>
      <c r="AB57" s="100"/>
      <c r="AC57" s="100"/>
      <c r="AD57" s="94"/>
      <c r="AE57" s="94"/>
      <c r="AF57" s="94"/>
      <c r="AG57" s="94"/>
      <c r="AH57" s="94"/>
      <c r="AI57" s="94"/>
      <c r="AJ57" s="94"/>
      <c r="AK57" s="94"/>
      <c r="AL57" s="94"/>
      <c r="AM57" s="94"/>
      <c r="AN57" s="94"/>
      <c r="AO57" s="94"/>
      <c r="AP57" s="94"/>
      <c r="AQ57" s="94"/>
      <c r="AR57" s="94"/>
      <c r="AS57" s="94"/>
    </row>
    <row r="58" spans="3:45" s="46" customFormat="1" ht="45">
      <c r="C58" s="79"/>
      <c r="D58" s="15" t="s">
        <v>223</v>
      </c>
      <c r="E58" s="15" t="s">
        <v>83</v>
      </c>
      <c r="G58" s="42"/>
      <c r="H58" s="42"/>
      <c r="I58" s="42"/>
      <c r="J58" s="42"/>
      <c r="K58" s="42"/>
      <c r="L58" s="42"/>
      <c r="M58" s="42"/>
      <c r="N58" s="42"/>
      <c r="O58" s="42"/>
      <c r="P58" s="53"/>
      <c r="Q58" s="53"/>
      <c r="R58" s="53"/>
      <c r="S58" s="53"/>
      <c r="T58" s="53"/>
      <c r="U58" s="53"/>
      <c r="V58" s="53"/>
      <c r="W58" s="53"/>
      <c r="X58" s="53"/>
      <c r="Y58" s="53"/>
      <c r="Z58" s="53"/>
      <c r="AA58" s="53"/>
      <c r="AB58" s="53"/>
      <c r="AC58" s="53"/>
      <c r="AD58" s="21"/>
      <c r="AE58" s="21"/>
      <c r="AF58" s="21"/>
      <c r="AG58" s="21"/>
      <c r="AH58" s="21"/>
      <c r="AI58" s="21"/>
      <c r="AJ58" s="21"/>
      <c r="AK58" s="21"/>
      <c r="AL58" s="21"/>
      <c r="AM58" s="21"/>
      <c r="AN58" s="21"/>
      <c r="AO58" s="21"/>
      <c r="AP58" s="21"/>
      <c r="AQ58" s="21"/>
      <c r="AR58" s="21"/>
      <c r="AS58" s="21"/>
    </row>
    <row r="59" spans="3:45" s="44" customFormat="1" ht="18.75">
      <c r="C59" s="78" t="s">
        <v>286</v>
      </c>
      <c r="D59" s="78"/>
      <c r="G59" s="176"/>
      <c r="H59" s="176"/>
      <c r="I59" s="176"/>
      <c r="J59" s="176">
        <v>94.85</v>
      </c>
      <c r="K59" s="176">
        <v>103.56</v>
      </c>
      <c r="L59" s="176">
        <v>114.03</v>
      </c>
      <c r="M59" s="176">
        <v>137.66</v>
      </c>
      <c r="N59" s="176">
        <v>83.861666666666665</v>
      </c>
      <c r="O59" s="176">
        <v>68.260000000000005</v>
      </c>
      <c r="P59" s="44">
        <v>89.504999999999995</v>
      </c>
      <c r="Q59" s="44">
        <v>94.46</v>
      </c>
      <c r="R59" s="44">
        <v>77.89</v>
      </c>
      <c r="S59" s="44">
        <v>68.959999999999994</v>
      </c>
      <c r="T59" s="44">
        <v>73.06</v>
      </c>
      <c r="U59" s="44">
        <v>97.83</v>
      </c>
      <c r="V59" s="44">
        <v>99.25</v>
      </c>
      <c r="W59" s="44">
        <v>102.75</v>
      </c>
      <c r="X59" s="44">
        <v>96.74</v>
      </c>
      <c r="Y59" s="44">
        <v>84</v>
      </c>
      <c r="Z59" s="44">
        <v>67.45</v>
      </c>
      <c r="AA59" s="44">
        <v>108.22</v>
      </c>
      <c r="AB59" s="44">
        <v>79.25</v>
      </c>
      <c r="AC59" s="44">
        <v>77.88</v>
      </c>
      <c r="AD59" s="44">
        <v>68.77</v>
      </c>
      <c r="AE59" s="44">
        <v>48.99</v>
      </c>
      <c r="AF59" s="44">
        <v>42.8</v>
      </c>
      <c r="AG59" s="44">
        <v>39.770000000000003</v>
      </c>
      <c r="AH59" s="44">
        <v>45.57</v>
      </c>
      <c r="AI59" s="44">
        <v>49.42</v>
      </c>
      <c r="AJ59" s="44">
        <v>29.31</v>
      </c>
      <c r="AK59" s="44">
        <v>25.96</v>
      </c>
      <c r="AL59" s="44">
        <v>33.31</v>
      </c>
      <c r="AM59" s="44">
        <v>36.53</v>
      </c>
      <c r="AN59" s="44">
        <v>30.32</v>
      </c>
      <c r="AO59" s="44">
        <v>31.27</v>
      </c>
      <c r="AP59" s="44">
        <v>36.19</v>
      </c>
      <c r="AQ59" s="44">
        <v>37.200000000000003</v>
      </c>
      <c r="AR59" s="44">
        <v>42.33</v>
      </c>
      <c r="AS59" s="44">
        <v>42.24</v>
      </c>
    </row>
    <row r="60" spans="3:45" s="44" customFormat="1" ht="18.75">
      <c r="C60" s="78" t="s">
        <v>287</v>
      </c>
      <c r="D60" s="78"/>
      <c r="G60" s="44" t="str">
        <f t="shared" ref="G60:P60" si="17">IF(G59="","",G59-100*G10)</f>
        <v/>
      </c>
      <c r="H60" s="44" t="str">
        <f t="shared" si="17"/>
        <v/>
      </c>
      <c r="I60" s="44" t="str">
        <f t="shared" si="17"/>
        <v/>
      </c>
      <c r="J60" s="44">
        <f t="shared" si="17"/>
        <v>60.05</v>
      </c>
      <c r="K60" s="44">
        <f t="shared" si="17"/>
        <v>68.760000000000005</v>
      </c>
      <c r="L60" s="44">
        <f t="shared" si="17"/>
        <v>79.23</v>
      </c>
      <c r="M60" s="44">
        <f t="shared" si="17"/>
        <v>105.86</v>
      </c>
      <c r="N60" s="44">
        <v>52.541666666666671</v>
      </c>
      <c r="O60" s="44">
        <f t="shared" si="17"/>
        <v>39.64</v>
      </c>
      <c r="P60" s="44">
        <f t="shared" si="17"/>
        <v>60.884999999999991</v>
      </c>
      <c r="Q60" s="44">
        <f t="shared" ref="Q60:AS60" si="18">Q59-100*Q10</f>
        <v>65.839999999999989</v>
      </c>
      <c r="R60" s="44">
        <f t="shared" si="18"/>
        <v>50.86</v>
      </c>
      <c r="S60" s="44" t="e">
        <f t="shared" si="18"/>
        <v>#VALUE!</v>
      </c>
      <c r="T60" s="44" t="e">
        <f t="shared" si="18"/>
        <v>#VALUE!</v>
      </c>
      <c r="U60" s="44" t="e">
        <f t="shared" si="18"/>
        <v>#VALUE!</v>
      </c>
      <c r="V60" s="44" t="e">
        <f t="shared" si="18"/>
        <v>#VALUE!</v>
      </c>
      <c r="W60" s="44" t="e">
        <f t="shared" si="18"/>
        <v>#VALUE!</v>
      </c>
      <c r="X60" s="44" t="e">
        <f t="shared" si="18"/>
        <v>#VALUE!</v>
      </c>
      <c r="Y60" s="44" t="e">
        <f t="shared" si="18"/>
        <v>#VALUE!</v>
      </c>
      <c r="Z60" s="44" t="e">
        <f t="shared" si="18"/>
        <v>#VALUE!</v>
      </c>
      <c r="AA60" s="44" t="e">
        <f t="shared" si="18"/>
        <v>#VALUE!</v>
      </c>
      <c r="AB60" s="44" t="e">
        <f t="shared" si="18"/>
        <v>#VALUE!</v>
      </c>
      <c r="AC60" s="44" t="e">
        <f t="shared" si="18"/>
        <v>#VALUE!</v>
      </c>
      <c r="AD60" s="44" t="e">
        <f t="shared" si="18"/>
        <v>#VALUE!</v>
      </c>
      <c r="AE60" s="44" t="e">
        <f t="shared" si="18"/>
        <v>#VALUE!</v>
      </c>
      <c r="AF60" s="44" t="e">
        <f t="shared" si="18"/>
        <v>#VALUE!</v>
      </c>
      <c r="AG60" s="44" t="e">
        <f t="shared" si="18"/>
        <v>#VALUE!</v>
      </c>
      <c r="AH60" s="44" t="e">
        <f t="shared" si="18"/>
        <v>#VALUE!</v>
      </c>
      <c r="AI60" s="44" t="e">
        <f t="shared" si="18"/>
        <v>#VALUE!</v>
      </c>
      <c r="AJ60" s="44" t="e">
        <f t="shared" si="18"/>
        <v>#VALUE!</v>
      </c>
      <c r="AK60" s="44" t="e">
        <f t="shared" si="18"/>
        <v>#VALUE!</v>
      </c>
      <c r="AL60" s="44" t="e">
        <f t="shared" si="18"/>
        <v>#VALUE!</v>
      </c>
      <c r="AM60" s="44" t="e">
        <f t="shared" si="18"/>
        <v>#VALUE!</v>
      </c>
      <c r="AN60" s="44" t="e">
        <f t="shared" si="18"/>
        <v>#VALUE!</v>
      </c>
      <c r="AO60" s="44" t="e">
        <f t="shared" si="18"/>
        <v>#VALUE!</v>
      </c>
      <c r="AP60" s="44" t="e">
        <f t="shared" si="18"/>
        <v>#VALUE!</v>
      </c>
      <c r="AQ60" s="44" t="e">
        <f t="shared" si="18"/>
        <v>#VALUE!</v>
      </c>
      <c r="AR60" s="44" t="e">
        <f t="shared" si="18"/>
        <v>#VALUE!</v>
      </c>
      <c r="AS60" s="44" t="e">
        <f t="shared" si="18"/>
        <v>#VALUE!</v>
      </c>
    </row>
    <row r="61" spans="3:45" s="44" customFormat="1" ht="18.75">
      <c r="C61" s="78" t="s">
        <v>288</v>
      </c>
      <c r="D61" s="78"/>
      <c r="E61" s="399">
        <f>AVERAGE(INDEX(F61:X61,(MATCH(TRUE,INDEX(ISNUMBER(F61:X61),0),0))),INDEX(F61:X61,(MATCH(TRUE,INDEX(ISNUMBER(F61:X61),0),0)+1)),INDEX(F61:X61,(MATCH(TRUE,INDEX(ISNUMBER(F61:X61),0),0)+2)),INDEX(F61:X61,(MATCH(TRUE,INDEX(ISNUMBER(F61:X61),0),0)+3)))</f>
        <v>72.753799269392744</v>
      </c>
      <c r="G61" s="44" t="str">
        <f t="shared" ref="G61:AS61" si="19">IF(G60="","",G60/(1+G12))</f>
        <v/>
      </c>
      <c r="H61" s="44" t="str">
        <f t="shared" si="19"/>
        <v/>
      </c>
      <c r="I61" s="44" t="str">
        <f t="shared" si="19"/>
        <v/>
      </c>
      <c r="J61" s="44">
        <f t="shared" si="19"/>
        <v>55.550416281221089</v>
      </c>
      <c r="K61" s="44">
        <f t="shared" si="19"/>
        <v>63.607770582793719</v>
      </c>
      <c r="L61" s="44">
        <f t="shared" si="19"/>
        <v>73.565459610027858</v>
      </c>
      <c r="M61" s="44">
        <f t="shared" si="19"/>
        <v>98.291550603528322</v>
      </c>
      <c r="N61" s="44">
        <v>48.785205818632008</v>
      </c>
      <c r="O61" s="44">
        <f t="shared" si="19"/>
        <v>36.805942432683381</v>
      </c>
      <c r="P61" s="44">
        <f t="shared" si="19"/>
        <v>56.532033426183837</v>
      </c>
      <c r="Q61" s="44">
        <f t="shared" si="19"/>
        <v>61.132776230269258</v>
      </c>
      <c r="R61" s="44">
        <f t="shared" si="19"/>
        <v>47.092592592592588</v>
      </c>
      <c r="S61" s="44" t="e">
        <f t="shared" si="19"/>
        <v>#VALUE!</v>
      </c>
      <c r="T61" s="44" t="e">
        <f t="shared" si="19"/>
        <v>#VALUE!</v>
      </c>
      <c r="U61" s="44" t="e">
        <f t="shared" si="19"/>
        <v>#VALUE!</v>
      </c>
      <c r="V61" s="44" t="e">
        <f t="shared" si="19"/>
        <v>#VALUE!</v>
      </c>
      <c r="W61" s="44" t="e">
        <f t="shared" si="19"/>
        <v>#VALUE!</v>
      </c>
      <c r="X61" s="44" t="e">
        <f t="shared" si="19"/>
        <v>#VALUE!</v>
      </c>
      <c r="Y61" s="44" t="e">
        <f t="shared" si="19"/>
        <v>#VALUE!</v>
      </c>
      <c r="Z61" s="44" t="e">
        <f t="shared" si="19"/>
        <v>#VALUE!</v>
      </c>
      <c r="AA61" s="44" t="e">
        <f t="shared" si="19"/>
        <v>#VALUE!</v>
      </c>
      <c r="AB61" s="44" t="e">
        <f t="shared" si="19"/>
        <v>#VALUE!</v>
      </c>
      <c r="AC61" s="44" t="e">
        <f t="shared" si="19"/>
        <v>#VALUE!</v>
      </c>
      <c r="AD61" s="44" t="e">
        <f t="shared" si="19"/>
        <v>#VALUE!</v>
      </c>
      <c r="AE61" s="44" t="e">
        <f t="shared" si="19"/>
        <v>#VALUE!</v>
      </c>
      <c r="AF61" s="44" t="e">
        <f t="shared" si="19"/>
        <v>#VALUE!</v>
      </c>
      <c r="AG61" s="44" t="e">
        <f t="shared" si="19"/>
        <v>#VALUE!</v>
      </c>
      <c r="AH61" s="44" t="e">
        <f t="shared" si="19"/>
        <v>#VALUE!</v>
      </c>
      <c r="AI61" s="44" t="e">
        <f t="shared" si="19"/>
        <v>#VALUE!</v>
      </c>
      <c r="AJ61" s="44" t="e">
        <f t="shared" si="19"/>
        <v>#VALUE!</v>
      </c>
      <c r="AK61" s="44" t="e">
        <f t="shared" si="19"/>
        <v>#VALUE!</v>
      </c>
      <c r="AL61" s="44" t="e">
        <f t="shared" si="19"/>
        <v>#VALUE!</v>
      </c>
      <c r="AM61" s="44" t="e">
        <f t="shared" si="19"/>
        <v>#VALUE!</v>
      </c>
      <c r="AN61" s="44" t="e">
        <f t="shared" si="19"/>
        <v>#VALUE!</v>
      </c>
      <c r="AO61" s="44" t="e">
        <f t="shared" si="19"/>
        <v>#VALUE!</v>
      </c>
      <c r="AP61" s="44" t="e">
        <f t="shared" si="19"/>
        <v>#VALUE!</v>
      </c>
      <c r="AQ61" s="44" t="e">
        <f t="shared" si="19"/>
        <v>#VALUE!</v>
      </c>
      <c r="AR61" s="44" t="e">
        <f t="shared" si="19"/>
        <v>#VALUE!</v>
      </c>
      <c r="AS61" s="44" t="e">
        <f t="shared" si="19"/>
        <v>#VALUE!</v>
      </c>
    </row>
    <row r="62" spans="3:45" s="44" customFormat="1" ht="33.75">
      <c r="C62" s="78" t="s">
        <v>289</v>
      </c>
      <c r="D62" s="400">
        <f>E61+100*D9/1000*2.65</f>
        <v>104.55379926939274</v>
      </c>
      <c r="E62" s="105"/>
    </row>
    <row r="63" spans="3:45" s="44" customFormat="1" ht="33.75">
      <c r="C63" s="78" t="s">
        <v>290</v>
      </c>
      <c r="D63" s="400">
        <f>D62+D62*MWST</f>
        <v>113.02265701021355</v>
      </c>
      <c r="E63" s="105"/>
    </row>
    <row r="64" spans="3:45" s="106" customFormat="1" ht="34.5" thickBot="1">
      <c r="C64" s="107" t="s">
        <v>291</v>
      </c>
      <c r="D64" s="401">
        <f>D63/999.8*100</f>
        <v>11.304526606342623</v>
      </c>
      <c r="E64" s="108"/>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row>
    <row r="65" spans="1:45" s="44" customFormat="1" ht="45">
      <c r="C65" s="78"/>
      <c r="D65" s="15" t="s">
        <v>223</v>
      </c>
      <c r="E65" s="15" t="s">
        <v>83</v>
      </c>
      <c r="G65" s="40"/>
      <c r="H65" s="40"/>
      <c r="I65" s="40"/>
      <c r="J65" s="40"/>
      <c r="K65" s="40"/>
      <c r="L65" s="40"/>
      <c r="M65" s="40"/>
      <c r="N65" s="40"/>
      <c r="O65" s="40"/>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row>
    <row r="66" spans="1:45" s="75" customFormat="1" ht="18.75">
      <c r="C66" s="74" t="s">
        <v>743</v>
      </c>
      <c r="D66" s="74"/>
      <c r="E66" s="402" t="e">
        <f>AVERAGE(INDEX(F66:Q66,(MATCH(TRUE,INDEX(ISNUMBER(F66:Q66),0),0))),INDEX(F66:Q66,(MATCH(TRUE,INDEX(ISNUMBER(F66:Q66),0),0)+1)),INDEX(F66:Q66,(MATCH(TRUE,INDEX(ISNUMBER(F66:Q66),0),0)+2)),INDEX(F66:Q66,(MATCH(TRUE,INDEX(ISNUMBER(F66:Q66),0),0)+3)))</f>
        <v>#N/A</v>
      </c>
      <c r="G66" s="272"/>
      <c r="H66" s="272"/>
      <c r="I66" s="280" t="e">
        <f>'2.3 Gaspreis ewl'!F59</f>
        <v>#VALUE!</v>
      </c>
      <c r="J66" s="280" t="e">
        <f>'2.3 Gaspreis ewl'!G59</f>
        <v>#VALUE!</v>
      </c>
      <c r="K66" s="280" t="e">
        <f>'2.3 Gaspreis ewl'!H59</f>
        <v>#VALUE!</v>
      </c>
      <c r="L66" s="280" t="e">
        <f>'2.3 Gaspreis ewl'!I59</f>
        <v>#VALUE!</v>
      </c>
      <c r="M66" s="280" t="e">
        <f>'2.3 Gaspreis ewl'!J59</f>
        <v>#VALUE!</v>
      </c>
      <c r="N66" s="378" t="e">
        <f>'2.3 Gaspreis ewl'!K59-(11*0.039+0.011)/12</f>
        <v>#VALUE!</v>
      </c>
      <c r="O66" s="378" t="e">
        <f>'2.3 Gaspreis ewl'!K59-(6*0.039+6*0.034)/12</f>
        <v>#VALUE!</v>
      </c>
      <c r="P66" s="280" t="e">
        <f>'2.3 Gaspreis ewl'!K59-0.031</f>
        <v>#VALUE!</v>
      </c>
    </row>
    <row r="67" spans="1:45" s="75" customFormat="1" ht="33.75">
      <c r="C67" s="74" t="s">
        <v>292</v>
      </c>
      <c r="D67" s="397" t="e">
        <f>E66+D9/1000*0.18075</f>
        <v>#N/A</v>
      </c>
      <c r="G67" s="40"/>
      <c r="H67" s="40"/>
      <c r="I67" s="40"/>
      <c r="J67" s="40"/>
      <c r="K67" s="40"/>
      <c r="L67" s="40"/>
      <c r="M67" s="40"/>
      <c r="N67" s="40"/>
      <c r="O67" s="40"/>
      <c r="P67" s="76"/>
      <c r="Q67" s="76"/>
      <c r="R67" s="76"/>
      <c r="S67" s="76"/>
      <c r="T67" s="76"/>
      <c r="U67" s="76"/>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row>
    <row r="68" spans="1:45" s="116" customFormat="1" ht="34.5" thickBot="1">
      <c r="C68" s="117" t="s">
        <v>293</v>
      </c>
      <c r="D68" s="398" t="e">
        <f>D67+D67*MWST</f>
        <v>#N/A</v>
      </c>
      <c r="G68" s="118"/>
      <c r="H68" s="118"/>
      <c r="I68" s="118"/>
      <c r="J68" s="118"/>
      <c r="K68" s="118"/>
      <c r="L68" s="118"/>
      <c r="M68" s="118"/>
      <c r="N68" s="118"/>
      <c r="O68" s="118"/>
      <c r="P68" s="119"/>
      <c r="Q68" s="119"/>
      <c r="R68" s="119"/>
      <c r="S68" s="119"/>
      <c r="T68" s="119"/>
      <c r="U68" s="119"/>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row>
    <row r="69" spans="1:45" s="75" customFormat="1" ht="45">
      <c r="C69" s="74"/>
      <c r="D69" s="15" t="s">
        <v>223</v>
      </c>
      <c r="E69" s="15" t="s">
        <v>83</v>
      </c>
      <c r="G69" s="40"/>
      <c r="H69" s="40"/>
      <c r="I69" s="40"/>
      <c r="J69" s="40"/>
      <c r="K69" s="40"/>
      <c r="L69" s="40"/>
    </row>
    <row r="70" spans="1:45" s="54" customFormat="1" ht="17.25">
      <c r="C70" s="273" t="s">
        <v>430</v>
      </c>
      <c r="D70" s="277"/>
      <c r="E70" s="278" t="e">
        <f>AVERAGE(INDEX(F70:Q70,(MATCH(TRUE,INDEX(ISNUMBER(F70:Q70),0),0))),INDEX(F70:Q70,(MATCH(TRUE,INDEX(ISNUMBER(F70:Q70),0),0)+1)),INDEX(F70:Q70,(MATCH(TRUE,INDEX(ISNUMBER(F70:Q70),0),0)+2)),INDEX(F70:Q70,(MATCH(TRUE,INDEX(ISNUMBER(F70:Q70),0),0)+3)))</f>
        <v>#N/A</v>
      </c>
      <c r="G70" s="169"/>
      <c r="H70" s="169"/>
      <c r="I70" s="279" t="e">
        <f>'2.3 Preis Wärmenetze'!E51</f>
        <v>#VALUE!</v>
      </c>
      <c r="J70" s="279" t="e">
        <f>'2.3 Preis Wärmenetze'!F51</f>
        <v>#VALUE!</v>
      </c>
      <c r="K70" s="279" t="e">
        <f>'2.3 Preis Wärmenetze'!G51</f>
        <v>#VALUE!</v>
      </c>
      <c r="L70" s="279" t="e">
        <f>'2.3 Preis Wärmenetze'!H51</f>
        <v>#VALUE!</v>
      </c>
      <c r="M70" s="279" t="e">
        <f>'2.3 Preis Wärmenetze'!I51</f>
        <v>#VALUE!</v>
      </c>
      <c r="N70" s="279" t="e">
        <f>'2.3 Preis Wärmenetze'!J51</f>
        <v>#VALUE!</v>
      </c>
      <c r="O70" s="279" t="e">
        <f>'2.3 Preis Wärmenetze'!K51</f>
        <v>#VALUE!</v>
      </c>
      <c r="P70" s="279" t="e">
        <f>'2.3 Preis Wärmenetze'!L51</f>
        <v>#VALUE!</v>
      </c>
    </row>
    <row r="71" spans="1:45" s="54" customFormat="1" ht="17.25">
      <c r="C71" s="273" t="s">
        <v>435</v>
      </c>
      <c r="D71" s="277"/>
      <c r="E71" s="278">
        <f>AVERAGE(INDEX(F71:Q71,(MATCH(TRUE,INDEX(ISNUMBER(F71:Q71),0),0))),INDEX(F71:Q71,(MATCH(TRUE,INDEX(ISNUMBER(F71:Q71),0),0)+1)),INDEX(F71:Q71,(MATCH(TRUE,INDEX(ISNUMBER(F71:Q71),0),0)+2)),INDEX(F71:Q71,(MATCH(TRUE,INDEX(ISNUMBER(F71:Q71),0),0)+3)))</f>
        <v>2.3499999999999996</v>
      </c>
      <c r="G71" s="169"/>
      <c r="H71" s="169"/>
      <c r="I71" s="169"/>
      <c r="J71" s="169"/>
      <c r="K71" s="169">
        <v>0.9</v>
      </c>
      <c r="L71" s="169">
        <v>1</v>
      </c>
      <c r="M71" s="169">
        <v>2.2000000000000002</v>
      </c>
      <c r="N71" s="169">
        <v>5.3</v>
      </c>
      <c r="O71" s="169">
        <v>3.4</v>
      </c>
      <c r="P71" s="169">
        <v>2.6</v>
      </c>
    </row>
    <row r="72" spans="1:45" s="54" customFormat="1" ht="33.75">
      <c r="C72" s="273" t="s">
        <v>434</v>
      </c>
      <c r="D72" s="277" t="e">
        <f>E70+D9/10*0.18075*E71/100</f>
        <v>#N/A</v>
      </c>
      <c r="E72" s="145"/>
    </row>
    <row r="73" spans="1:45" s="54" customFormat="1" ht="33.75">
      <c r="C73" s="273" t="s">
        <v>432</v>
      </c>
      <c r="D73" s="403" t="e">
        <f>D72+D72*MWST</f>
        <v>#N/A</v>
      </c>
      <c r="E73" s="145"/>
    </row>
    <row r="74" spans="1:45" s="54" customFormat="1" ht="17.25">
      <c r="C74" s="273" t="s">
        <v>431</v>
      </c>
      <c r="D74" s="277"/>
      <c r="E74" s="278" t="e">
        <f>AVERAGE(INDEX(F74:Q74,(MATCH(TRUE,INDEX(ISNUMBER(F74:Q74),0),0))),INDEX(F74:Q74,(MATCH(TRUE,INDEX(ISNUMBER(F74:Q74),0),0)+1)),INDEX(F74:Q74,(MATCH(TRUE,INDEX(ISNUMBER(F74:Q74),0),0)+2)),INDEX(F74:Q74,(MATCH(TRUE,INDEX(ISNUMBER(F74:Q74),0),0)+3)))</f>
        <v>#N/A</v>
      </c>
      <c r="G74" s="169"/>
      <c r="H74" s="169"/>
      <c r="I74" s="279" t="e">
        <f>'2.3 Preis Wärmenetze'!E112</f>
        <v>#VALUE!</v>
      </c>
      <c r="J74" s="279" t="e">
        <f>'2.3 Preis Wärmenetze'!F112</f>
        <v>#VALUE!</v>
      </c>
      <c r="K74" s="279" t="e">
        <f>'2.3 Preis Wärmenetze'!G112</f>
        <v>#VALUE!</v>
      </c>
      <c r="L74" s="279" t="e">
        <f>'2.3 Preis Wärmenetze'!H112</f>
        <v>#VALUE!</v>
      </c>
      <c r="M74" s="279" t="e">
        <f>'2.3 Preis Wärmenetze'!I112</f>
        <v>#VALUE!</v>
      </c>
      <c r="N74" s="279" t="e">
        <f>'2.3 Preis Wärmenetze'!J112</f>
        <v>#VALUE!</v>
      </c>
      <c r="O74" s="279" t="e">
        <f>'2.3 Preis Wärmenetze'!K112</f>
        <v>#VALUE!</v>
      </c>
      <c r="P74" s="279" t="e">
        <f>'2.3 Preis Wärmenetze'!L112</f>
        <v>#VALUE!</v>
      </c>
    </row>
    <row r="75" spans="1:45" s="54" customFormat="1" ht="17.25">
      <c r="C75" s="273" t="s">
        <v>593</v>
      </c>
      <c r="D75" s="277"/>
      <c r="E75" s="278" cm="1">
        <f t="array" ref="E75">AVERAGE(INDEX(F75:Q75,(MATCH(TRUE,INDEX(ISNUMBER(F75:Q75),0),0))),INDEX(F75:Q75,(MATCH(TRUE,INDEX(ISNUMBER(F75:Q75),0),0)+1)),INDEX(F75:Q75,(MATCH(TRUE,INDEX(ISNUMBER(F75:Q75),0),0)+2)),INDEX(F75:Q75,(MATCH(TRUE,INDEX(ISNUMBER(F75:Q75),0),0)+3)))</f>
        <v>3.8499999999999996</v>
      </c>
      <c r="G75" s="169"/>
      <c r="H75" s="169"/>
      <c r="I75" s="169"/>
      <c r="J75" s="169"/>
      <c r="K75" s="169">
        <v>1.5</v>
      </c>
      <c r="L75" s="169">
        <v>2.9</v>
      </c>
      <c r="M75" s="169">
        <v>6.8</v>
      </c>
      <c r="N75" s="169">
        <v>4.2</v>
      </c>
      <c r="O75" s="169"/>
      <c r="P75" s="169"/>
    </row>
    <row r="76" spans="1:45" s="54" customFormat="1" ht="35.25">
      <c r="C76" s="273" t="s">
        <v>436</v>
      </c>
      <c r="D76" s="277" t="e">
        <f>E74+D9/10*0.18075*E75/100</f>
        <v>#N/A</v>
      </c>
      <c r="E76" s="278"/>
      <c r="G76" s="169"/>
      <c r="H76" s="169"/>
      <c r="I76" s="169"/>
      <c r="J76" s="169"/>
      <c r="K76" s="169"/>
      <c r="L76" s="169"/>
      <c r="M76" s="169"/>
      <c r="N76" s="169"/>
      <c r="O76" s="169"/>
      <c r="P76" s="169"/>
    </row>
    <row r="77" spans="1:45" s="94" customFormat="1" ht="36" thickBot="1">
      <c r="A77" s="274"/>
      <c r="B77" s="274"/>
      <c r="C77" s="275" t="s">
        <v>433</v>
      </c>
      <c r="D77" s="404" t="e">
        <f>D76+D76*MWST</f>
        <v>#N/A</v>
      </c>
      <c r="E77" s="89"/>
    </row>
    <row r="78" spans="1:45">
      <c r="C78" s="80"/>
    </row>
    <row r="79" spans="1:45">
      <c r="C79" s="15" t="s">
        <v>244</v>
      </c>
    </row>
    <row r="80" spans="1:45" ht="17.25">
      <c r="B80" s="131" t="s">
        <v>231</v>
      </c>
      <c r="C80" s="419" t="s">
        <v>232</v>
      </c>
      <c r="D80" s="21"/>
    </row>
    <row r="81" spans="2:28" ht="17.25">
      <c r="B81" s="131" t="s">
        <v>234</v>
      </c>
      <c r="C81" s="21" t="s">
        <v>245</v>
      </c>
      <c r="D81" s="21"/>
    </row>
    <row r="82" spans="2:28" ht="17.25">
      <c r="B82" s="131" t="s">
        <v>235</v>
      </c>
      <c r="C82" s="21" t="s">
        <v>248</v>
      </c>
      <c r="D82" s="21"/>
    </row>
    <row r="83" spans="2:28" ht="17.25">
      <c r="B83" s="131" t="s">
        <v>236</v>
      </c>
      <c r="C83" t="s">
        <v>334</v>
      </c>
      <c r="D83" s="21"/>
      <c r="AB83" s="380"/>
    </row>
    <row r="84" spans="2:28" ht="17.25">
      <c r="B84" s="131" t="s">
        <v>237</v>
      </c>
      <c r="C84" s="208" t="s">
        <v>281</v>
      </c>
      <c r="D84" s="21"/>
    </row>
    <row r="85" spans="2:28" ht="405">
      <c r="B85" s="132" t="s">
        <v>238</v>
      </c>
      <c r="C85" s="235" t="s">
        <v>296</v>
      </c>
      <c r="D85" s="235"/>
      <c r="E85" s="235"/>
    </row>
    <row r="86" spans="2:28" ht="21.75" customHeight="1">
      <c r="B86" s="131" t="s">
        <v>239</v>
      </c>
      <c r="C86" s="21" t="s">
        <v>335</v>
      </c>
      <c r="D86" s="21"/>
    </row>
    <row r="87" spans="2:28" ht="21.75" customHeight="1">
      <c r="B87" s="131" t="s">
        <v>240</v>
      </c>
      <c r="C87" s="21" t="s">
        <v>284</v>
      </c>
      <c r="D87" s="21"/>
    </row>
    <row r="88" spans="2:28" ht="21.75" customHeight="1">
      <c r="B88" s="131" t="s">
        <v>241</v>
      </c>
      <c r="C88" s="21" t="s">
        <v>285</v>
      </c>
      <c r="D88" s="21"/>
    </row>
    <row r="89" spans="2:28" ht="21.75" customHeight="1">
      <c r="B89" s="131" t="s">
        <v>242</v>
      </c>
      <c r="C89" s="21" t="s">
        <v>716</v>
      </c>
      <c r="D89" s="21"/>
    </row>
    <row r="90" spans="2:28" ht="21.75" customHeight="1">
      <c r="B90" s="131" t="s">
        <v>243</v>
      </c>
      <c r="C90" s="21" t="s">
        <v>429</v>
      </c>
      <c r="D90" s="21"/>
    </row>
    <row r="91" spans="2:28" ht="21.75" customHeight="1">
      <c r="B91" s="131" t="s">
        <v>590</v>
      </c>
      <c r="C91" s="208" t="s">
        <v>588</v>
      </c>
    </row>
    <row r="92" spans="2:28" ht="21.75" customHeight="1">
      <c r="B92" s="131" t="s">
        <v>591</v>
      </c>
      <c r="C92" s="21" t="s">
        <v>589</v>
      </c>
      <c r="D92" s="21"/>
      <c r="F92" s="236"/>
      <c r="G92" s="236"/>
      <c r="H92" s="236"/>
      <c r="I92" s="236"/>
      <c r="J92" s="236"/>
      <c r="K92" s="236"/>
      <c r="L92" s="236"/>
      <c r="M92" s="236"/>
      <c r="N92" s="236"/>
    </row>
    <row r="93" spans="2:28" ht="17.25">
      <c r="B93" s="131" t="s">
        <v>594</v>
      </c>
      <c r="C93" s="21" t="s">
        <v>595</v>
      </c>
      <c r="D93" s="21"/>
      <c r="E93" s="81"/>
    </row>
    <row r="94" spans="2:28">
      <c r="E94" s="82"/>
    </row>
    <row r="95" spans="2:28">
      <c r="C95" s="21"/>
      <c r="D95" s="21"/>
      <c r="E95" s="82"/>
    </row>
    <row r="96" spans="2:28">
      <c r="C96" s="21"/>
      <c r="D96" s="21"/>
      <c r="E96" s="82"/>
    </row>
    <row r="97" spans="3:5">
      <c r="C97" s="21"/>
      <c r="D97" s="21"/>
      <c r="E97" s="82"/>
    </row>
    <row r="98" spans="3:5">
      <c r="C98" s="21"/>
      <c r="D98" s="21"/>
      <c r="E98" s="82"/>
    </row>
    <row r="99" spans="3:5">
      <c r="C99" s="21"/>
      <c r="D99" s="21"/>
      <c r="E99" s="82"/>
    </row>
    <row r="100" spans="3:5">
      <c r="C100" s="21"/>
      <c r="D100" s="21"/>
      <c r="E100" s="82"/>
    </row>
    <row r="101" spans="3:5">
      <c r="C101" s="21"/>
      <c r="D101" s="21"/>
      <c r="E101" s="82"/>
    </row>
    <row r="102" spans="3:5">
      <c r="C102" s="21"/>
      <c r="D102" s="21"/>
      <c r="E102" s="82"/>
    </row>
    <row r="103" spans="3:5">
      <c r="C103" s="21"/>
      <c r="D103" s="21"/>
      <c r="E103" s="82"/>
    </row>
    <row r="104" spans="3:5">
      <c r="C104" s="21"/>
      <c r="D104" s="21"/>
      <c r="E104" s="82"/>
    </row>
    <row r="105" spans="3:5">
      <c r="C105" s="21"/>
      <c r="D105" s="21"/>
      <c r="E105" s="82"/>
    </row>
    <row r="106" spans="3:5">
      <c r="C106" s="21"/>
      <c r="D106" s="21"/>
      <c r="E106" s="82"/>
    </row>
    <row r="107" spans="3:5" ht="17.25">
      <c r="C107" s="130"/>
      <c r="D107" s="21"/>
      <c r="E107" s="82"/>
    </row>
    <row r="108" spans="3:5">
      <c r="C108" s="21"/>
      <c r="D108" s="21"/>
      <c r="E108" s="82"/>
    </row>
    <row r="109" spans="3:5">
      <c r="C109" s="21"/>
      <c r="D109" s="21"/>
      <c r="E109" s="82"/>
    </row>
    <row r="110" spans="3:5">
      <c r="C110" s="21"/>
      <c r="D110" s="21"/>
      <c r="E110" s="82"/>
    </row>
    <row r="111" spans="3:5">
      <c r="C111" s="21"/>
      <c r="D111" s="21"/>
      <c r="E111" s="82"/>
    </row>
    <row r="112" spans="3:5">
      <c r="C112" s="21"/>
      <c r="D112" s="21"/>
      <c r="E112" s="82"/>
    </row>
    <row r="113" spans="3:5">
      <c r="C113" s="21"/>
      <c r="D113" s="21"/>
      <c r="E113" s="82"/>
    </row>
    <row r="114" spans="3:5">
      <c r="C114" s="21"/>
      <c r="D114" s="21"/>
      <c r="E114" s="82"/>
    </row>
    <row r="115" spans="3:5">
      <c r="C115" s="21"/>
      <c r="D115" s="21"/>
      <c r="E115" s="82"/>
    </row>
    <row r="116" spans="3:5">
      <c r="C116" s="21"/>
      <c r="D116" s="21"/>
      <c r="E116" s="82"/>
    </row>
    <row r="117" spans="3:5">
      <c r="C117" s="21"/>
      <c r="D117" s="21"/>
      <c r="E117" s="82"/>
    </row>
  </sheetData>
  <conditionalFormatting sqref="G18:H18">
    <cfRule type="cellIs" dxfId="25" priority="60" operator="equal">
      <formula>0</formula>
    </cfRule>
  </conditionalFormatting>
  <conditionalFormatting sqref="G20:H20">
    <cfRule type="cellIs" dxfId="24" priority="58" operator="equal">
      <formula>0</formula>
    </cfRule>
  </conditionalFormatting>
  <conditionalFormatting sqref="G22:H22">
    <cfRule type="cellIs" dxfId="23" priority="56" operator="equal">
      <formula>0</formula>
    </cfRule>
  </conditionalFormatting>
  <conditionalFormatting sqref="G24:H24">
    <cfRule type="cellIs" dxfId="22" priority="54" operator="equal">
      <formula>0</formula>
    </cfRule>
  </conditionalFormatting>
  <conditionalFormatting sqref="G26:H26">
    <cfRule type="cellIs" dxfId="21" priority="52" operator="equal">
      <formula>0</formula>
    </cfRule>
  </conditionalFormatting>
  <conditionalFormatting sqref="G28:H28">
    <cfRule type="cellIs" dxfId="20" priority="50" operator="equal">
      <formula>0</formula>
    </cfRule>
  </conditionalFormatting>
  <conditionalFormatting sqref="G30:H30">
    <cfRule type="cellIs" dxfId="19" priority="48" operator="equal">
      <formula>0</formula>
    </cfRule>
  </conditionalFormatting>
  <conditionalFormatting sqref="G32:H32">
    <cfRule type="cellIs" dxfId="18" priority="46" operator="equal">
      <formula>0</formula>
    </cfRule>
  </conditionalFormatting>
  <conditionalFormatting sqref="G34:H34">
    <cfRule type="cellIs" dxfId="17" priority="44" operator="equal">
      <formula>0</formula>
    </cfRule>
  </conditionalFormatting>
  <conditionalFormatting sqref="G36:H36">
    <cfRule type="cellIs" dxfId="16" priority="42" operator="equal">
      <formula>0</formula>
    </cfRule>
  </conditionalFormatting>
  <conditionalFormatting sqref="G38:H38">
    <cfRule type="cellIs" dxfId="15" priority="40" operator="equal">
      <formula>0</formula>
    </cfRule>
  </conditionalFormatting>
  <conditionalFormatting sqref="G40:H40">
    <cfRule type="cellIs" dxfId="14" priority="38" operator="equal">
      <formula>0</formula>
    </cfRule>
  </conditionalFormatting>
  <conditionalFormatting sqref="G42:H42">
    <cfRule type="cellIs" dxfId="13" priority="36" operator="equal">
      <formula>0</formula>
    </cfRule>
  </conditionalFormatting>
  <conditionalFormatting sqref="G44:H44">
    <cfRule type="cellIs" dxfId="12" priority="34" operator="equal">
      <formula>0</formula>
    </cfRule>
  </conditionalFormatting>
  <conditionalFormatting sqref="G46:H46">
    <cfRule type="cellIs" dxfId="11" priority="32" operator="equal">
      <formula>0</formula>
    </cfRule>
  </conditionalFormatting>
  <conditionalFormatting sqref="G7:N8">
    <cfRule type="cellIs" dxfId="10" priority="18" operator="equal">
      <formula>0</formula>
    </cfRule>
  </conditionalFormatting>
  <conditionalFormatting sqref="G12:N12">
    <cfRule type="cellIs" dxfId="9" priority="61" operator="equal">
      <formula>0</formula>
    </cfRule>
  </conditionalFormatting>
  <conditionalFormatting sqref="G13:O15">
    <cfRule type="cellIs" dxfId="8" priority="6" operator="equal">
      <formula>0</formula>
    </cfRule>
  </conditionalFormatting>
  <conditionalFormatting sqref="G49:O49">
    <cfRule type="cellIs" dxfId="7" priority="20" operator="equal">
      <formula>0</formula>
    </cfRule>
  </conditionalFormatting>
  <conditionalFormatting sqref="G54:O54">
    <cfRule type="cellIs" dxfId="6" priority="14" operator="equal">
      <formula>0</formula>
    </cfRule>
  </conditionalFormatting>
  <conditionalFormatting sqref="G59:O59">
    <cfRule type="cellIs" dxfId="5" priority="15" operator="equal">
      <formula>0</formula>
    </cfRule>
  </conditionalFormatting>
  <conditionalFormatting sqref="G55:P55">
    <cfRule type="cellIs" dxfId="4" priority="1" operator="equal">
      <formula>0</formula>
    </cfRule>
  </conditionalFormatting>
  <conditionalFormatting sqref="G66:P66">
    <cfRule type="cellIs" dxfId="3" priority="3" operator="equal">
      <formula>0</formula>
    </cfRule>
  </conditionalFormatting>
  <conditionalFormatting sqref="G70:P71">
    <cfRule type="cellIs" dxfId="2" priority="8" operator="equal">
      <formula>0</formula>
    </cfRule>
  </conditionalFormatting>
  <conditionalFormatting sqref="G74:P75">
    <cfRule type="cellIs" dxfId="1" priority="7" operator="equal">
      <formula>0</formula>
    </cfRule>
  </conditionalFormatting>
  <hyperlinks>
    <hyperlink ref="C84" r:id="rId1" xr:uid="{00000000-0004-0000-0600-000000000000}"/>
    <hyperlink ref="C91" r:id="rId2" xr:uid="{00000000-0004-0000-0600-000001000000}"/>
    <hyperlink ref="C80" r:id="rId3" xr:uid="{DFB11DB9-1F85-4BCA-AC4F-4E2E835F9F97}"/>
  </hyperlinks>
  <pageMargins left="0.7" right="0.7" top="0.78740157499999996" bottom="0.78740157499999996" header="0.3" footer="0.3"/>
  <pageSetup paperSize="8" scale="41" fitToWidth="0" orientation="portrait" r:id="rId4"/>
  <ignoredErrors>
    <ignoredError sqref="D8 E20:E23 E25 E27:E46"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59"/>
  <sheetViews>
    <sheetView workbookViewId="0">
      <selection activeCell="F61" sqref="F61"/>
    </sheetView>
  </sheetViews>
  <sheetFormatPr baseColWidth="10" defaultRowHeight="15"/>
  <cols>
    <col min="1" max="1" width="19.140625" customWidth="1"/>
    <col min="5" max="5" width="15.28515625" customWidth="1"/>
  </cols>
  <sheetData>
    <row r="2" spans="1:11">
      <c r="A2" s="225" t="s">
        <v>390</v>
      </c>
      <c r="B2" s="226"/>
      <c r="C2" s="226"/>
      <c r="D2" s="226"/>
      <c r="E2" s="226"/>
      <c r="F2" s="226"/>
      <c r="G2" s="226"/>
      <c r="H2" s="226"/>
      <c r="I2" s="226"/>
      <c r="J2" s="226"/>
      <c r="K2" s="226"/>
    </row>
    <row r="3" spans="1:11">
      <c r="A3" s="225"/>
      <c r="B3" s="226"/>
      <c r="C3" s="226"/>
      <c r="D3" s="226"/>
      <c r="E3" s="226"/>
      <c r="F3" s="226"/>
      <c r="G3" s="226"/>
      <c r="H3" s="226"/>
      <c r="I3" s="226"/>
      <c r="J3" s="226"/>
      <c r="K3" s="226"/>
    </row>
    <row r="4" spans="1:11">
      <c r="A4" s="225" t="s">
        <v>374</v>
      </c>
      <c r="B4" s="226"/>
      <c r="C4" s="226"/>
      <c r="D4" s="226"/>
      <c r="E4" s="226"/>
      <c r="F4" s="226"/>
      <c r="G4" s="226"/>
      <c r="H4" s="226"/>
      <c r="I4" s="226"/>
      <c r="J4" s="226"/>
      <c r="K4" s="226"/>
    </row>
    <row r="5" spans="1:11">
      <c r="A5" s="237" t="s">
        <v>385</v>
      </c>
      <c r="B5" s="238" t="s">
        <v>386</v>
      </c>
      <c r="C5" s="238"/>
      <c r="D5" s="238"/>
      <c r="E5" s="239" t="s">
        <v>388</v>
      </c>
      <c r="F5" s="239">
        <v>2026</v>
      </c>
      <c r="G5" s="239">
        <v>2025</v>
      </c>
      <c r="H5" s="239">
        <v>2024</v>
      </c>
      <c r="I5" s="239">
        <v>2023</v>
      </c>
      <c r="J5" s="239">
        <v>2022</v>
      </c>
      <c r="K5" s="367" t="s">
        <v>687</v>
      </c>
    </row>
    <row r="6" spans="1:11">
      <c r="A6" s="241">
        <v>45</v>
      </c>
      <c r="B6" s="242" t="s">
        <v>375</v>
      </c>
      <c r="C6" s="242"/>
      <c r="D6" s="242"/>
      <c r="E6" s="242"/>
      <c r="F6" s="346">
        <v>150</v>
      </c>
      <c r="G6" s="346">
        <v>150</v>
      </c>
      <c r="H6" s="346">
        <v>150</v>
      </c>
      <c r="I6" s="409">
        <f>156*0.75+150*0.25</f>
        <v>154.5</v>
      </c>
      <c r="J6" s="346">
        <f>(3*144+156)/4</f>
        <v>147</v>
      </c>
      <c r="K6" s="368">
        <f>144</f>
        <v>144</v>
      </c>
    </row>
    <row r="7" spans="1:11">
      <c r="A7" s="241">
        <v>70</v>
      </c>
      <c r="B7" s="242" t="s">
        <v>376</v>
      </c>
      <c r="C7" s="242"/>
      <c r="D7" s="242"/>
      <c r="E7" s="242"/>
      <c r="F7" s="346">
        <v>240</v>
      </c>
      <c r="G7" s="346">
        <v>240</v>
      </c>
      <c r="H7" s="346">
        <v>240</v>
      </c>
      <c r="I7" s="409">
        <f>252*0.75+240*0.25</f>
        <v>249</v>
      </c>
      <c r="J7" s="346">
        <f>(3*234+252)/4</f>
        <v>238.5</v>
      </c>
      <c r="K7" s="368">
        <f>234</f>
        <v>234</v>
      </c>
    </row>
    <row r="8" spans="1:11">
      <c r="A8" s="241">
        <v>120</v>
      </c>
      <c r="B8" s="242" t="s">
        <v>377</v>
      </c>
      <c r="C8" s="242"/>
      <c r="D8" s="242"/>
      <c r="E8" s="242"/>
      <c r="F8" s="346">
        <v>504</v>
      </c>
      <c r="G8" s="346">
        <v>504</v>
      </c>
      <c r="H8" s="346">
        <v>504</v>
      </c>
      <c r="I8" s="409">
        <f>516*0.75+504*0.25</f>
        <v>513</v>
      </c>
      <c r="J8" s="346">
        <f>(3*486+516)/4</f>
        <v>493.5</v>
      </c>
      <c r="K8" s="368">
        <f>486</f>
        <v>486</v>
      </c>
    </row>
    <row r="9" spans="1:11">
      <c r="A9" s="241">
        <v>188</v>
      </c>
      <c r="B9" s="242" t="s">
        <v>378</v>
      </c>
      <c r="C9" s="242"/>
      <c r="D9" s="242"/>
      <c r="E9" s="242"/>
      <c r="F9" s="346">
        <v>1008</v>
      </c>
      <c r="G9" s="346">
        <v>1008</v>
      </c>
      <c r="H9" s="346">
        <v>1008</v>
      </c>
      <c r="I9" s="409">
        <f>996*0.75+1008*0.25</f>
        <v>999</v>
      </c>
      <c r="J9" s="346">
        <f>(3*956+996)/4</f>
        <v>966</v>
      </c>
      <c r="K9" s="368">
        <f>956</f>
        <v>956</v>
      </c>
    </row>
    <row r="10" spans="1:11">
      <c r="A10" s="241">
        <v>300</v>
      </c>
      <c r="B10" s="242" t="s">
        <v>379</v>
      </c>
      <c r="C10" s="242"/>
      <c r="D10" s="242"/>
      <c r="E10" s="242"/>
      <c r="F10" s="346">
        <v>1590</v>
      </c>
      <c r="G10" s="346">
        <v>1590</v>
      </c>
      <c r="H10" s="346">
        <v>1590</v>
      </c>
      <c r="I10" s="409">
        <f>1584*0.75+1590*0.25</f>
        <v>1585.5</v>
      </c>
      <c r="J10" s="346">
        <f>(3*1524+1584)/4</f>
        <v>1539</v>
      </c>
      <c r="K10" s="368">
        <f>1524</f>
        <v>1524</v>
      </c>
    </row>
    <row r="11" spans="1:11">
      <c r="A11" s="241">
        <v>460</v>
      </c>
      <c r="B11" s="242" t="s">
        <v>380</v>
      </c>
      <c r="C11" s="242"/>
      <c r="D11" s="242"/>
      <c r="E11" s="242"/>
      <c r="F11" s="346">
        <v>3132</v>
      </c>
      <c r="G11" s="346">
        <v>3132</v>
      </c>
      <c r="H11" s="346">
        <v>3132</v>
      </c>
      <c r="I11" s="409">
        <f>3060*0.75+3132*0.25</f>
        <v>3078</v>
      </c>
      <c r="J11" s="346">
        <f>(3*2952+3060)/4</f>
        <v>2979</v>
      </c>
      <c r="K11" s="368">
        <f>2952</f>
        <v>2952</v>
      </c>
    </row>
    <row r="12" spans="1:11">
      <c r="A12" s="241">
        <v>705</v>
      </c>
      <c r="B12" s="242" t="s">
        <v>381</v>
      </c>
      <c r="C12" s="242"/>
      <c r="D12" s="242"/>
      <c r="E12" s="242"/>
      <c r="F12" s="346">
        <v>6600</v>
      </c>
      <c r="G12" s="346">
        <v>6600</v>
      </c>
      <c r="H12" s="346">
        <v>6600</v>
      </c>
      <c r="I12" s="409">
        <f>6288*0.75+6600*0.25</f>
        <v>6366</v>
      </c>
      <c r="J12" s="346">
        <f>(3*6108+6288)/4</f>
        <v>6153</v>
      </c>
      <c r="K12" s="368">
        <f>6108</f>
        <v>6108</v>
      </c>
    </row>
    <row r="13" spans="1:11">
      <c r="A13" s="241">
        <v>1128</v>
      </c>
      <c r="B13" s="242" t="s">
        <v>382</v>
      </c>
      <c r="C13" s="242"/>
      <c r="D13" s="242"/>
      <c r="E13" s="242"/>
      <c r="F13" s="346">
        <v>13296</v>
      </c>
      <c r="G13" s="346">
        <v>13296</v>
      </c>
      <c r="H13" s="346">
        <v>13296</v>
      </c>
      <c r="I13" s="409">
        <f>12444*0.75+13296*0.25</f>
        <v>12657</v>
      </c>
      <c r="J13" s="346">
        <f>(3*12162+12444)/4</f>
        <v>12232.5</v>
      </c>
      <c r="K13" s="368">
        <f>12162</f>
        <v>12162</v>
      </c>
    </row>
    <row r="14" spans="1:11">
      <c r="A14" s="241">
        <v>1762</v>
      </c>
      <c r="B14" s="242" t="s">
        <v>383</v>
      </c>
      <c r="C14" s="242"/>
      <c r="D14" s="242"/>
      <c r="E14" s="242"/>
      <c r="F14" s="346">
        <v>20976</v>
      </c>
      <c r="G14" s="346">
        <v>20976</v>
      </c>
      <c r="H14" s="346">
        <v>20976</v>
      </c>
      <c r="I14" s="409">
        <f>19632*0.75+20976*0.25</f>
        <v>19968</v>
      </c>
      <c r="J14" s="346">
        <f>(3*19176+19632)/4</f>
        <v>19290</v>
      </c>
      <c r="K14" s="368">
        <f>19176</f>
        <v>19176</v>
      </c>
    </row>
    <row r="15" spans="1:11">
      <c r="A15" s="257">
        <v>2820</v>
      </c>
      <c r="B15" s="258" t="s">
        <v>384</v>
      </c>
      <c r="C15" s="258"/>
      <c r="D15" s="258"/>
      <c r="E15" s="258"/>
      <c r="F15" s="347">
        <v>36552</v>
      </c>
      <c r="G15" s="347">
        <v>36552</v>
      </c>
      <c r="H15" s="347">
        <v>36552</v>
      </c>
      <c r="I15" s="410">
        <f>33984*0.75+36552*0.25</f>
        <v>34626</v>
      </c>
      <c r="J15" s="347">
        <f>(3*33252+33984)/4</f>
        <v>33435</v>
      </c>
      <c r="K15" s="369">
        <f>33252</f>
        <v>33252</v>
      </c>
    </row>
    <row r="16" spans="1:11">
      <c r="A16" s="244" t="s">
        <v>405</v>
      </c>
      <c r="B16" s="245" t="s">
        <v>406</v>
      </c>
      <c r="C16" s="245"/>
      <c r="D16" s="245"/>
      <c r="E16" s="245"/>
      <c r="F16" s="348">
        <v>59052</v>
      </c>
      <c r="G16" s="348">
        <v>59052</v>
      </c>
      <c r="H16" s="348">
        <v>59052</v>
      </c>
      <c r="I16" s="411">
        <f>54900*0.75+59052*0.25</f>
        <v>55938</v>
      </c>
      <c r="J16" s="348">
        <f>(3*53724+54900)/4</f>
        <v>54018</v>
      </c>
      <c r="K16" s="370">
        <f>53724</f>
        <v>53724</v>
      </c>
    </row>
    <row r="17" spans="1:11">
      <c r="A17" s="228"/>
      <c r="B17" s="228"/>
      <c r="C17" s="228"/>
      <c r="D17" s="228"/>
      <c r="E17" s="228"/>
      <c r="F17" s="228"/>
      <c r="G17" s="228"/>
      <c r="H17" s="228"/>
      <c r="I17" s="412"/>
      <c r="J17" s="228"/>
      <c r="K17" s="228"/>
    </row>
    <row r="18" spans="1:11">
      <c r="A18" s="227" t="s">
        <v>392</v>
      </c>
      <c r="B18" s="228"/>
      <c r="C18" s="228"/>
      <c r="D18" s="228"/>
      <c r="E18" s="228"/>
      <c r="F18" s="228"/>
      <c r="G18" s="228"/>
      <c r="H18" s="228"/>
      <c r="I18" s="412"/>
      <c r="J18" s="228"/>
      <c r="K18" s="228"/>
    </row>
    <row r="19" spans="1:11">
      <c r="A19" s="237" t="s">
        <v>387</v>
      </c>
      <c r="B19" s="238"/>
      <c r="C19" s="238"/>
      <c r="D19" s="238"/>
      <c r="E19" s="239" t="s">
        <v>389</v>
      </c>
      <c r="F19" s="238"/>
      <c r="G19" s="238"/>
      <c r="H19" s="238"/>
      <c r="I19" s="413"/>
      <c r="J19" s="238"/>
      <c r="K19" s="371"/>
    </row>
    <row r="20" spans="1:11">
      <c r="A20" s="241">
        <v>5000</v>
      </c>
      <c r="B20" s="242"/>
      <c r="C20" s="242"/>
      <c r="D20" s="242"/>
      <c r="E20" s="242"/>
      <c r="F20" s="349">
        <v>0.104</v>
      </c>
      <c r="G20" s="349">
        <f>(4*0.1152+5*0.11+3*0.109)/12</f>
        <v>0.11148333333333334</v>
      </c>
      <c r="H20" s="349">
        <f>(0.1189*5+0.1177*7)/12</f>
        <v>0.11820000000000001</v>
      </c>
      <c r="I20" s="414">
        <f>0.1435*0.5+0.1137*0.25+0.1189*0.25</f>
        <v>0.12989999999999999</v>
      </c>
      <c r="J20" s="349">
        <f>(2*0.1191+0.1411+0.1395)/4</f>
        <v>0.12969999999999998</v>
      </c>
      <c r="K20" s="372">
        <f>0.1191</f>
        <v>0.1191</v>
      </c>
    </row>
    <row r="21" spans="1:11">
      <c r="A21" s="241">
        <v>50000</v>
      </c>
      <c r="B21" s="242"/>
      <c r="C21" s="242"/>
      <c r="D21" s="242"/>
      <c r="E21" s="242"/>
      <c r="F21" s="349">
        <v>8.9899999999999994E-2</v>
      </c>
      <c r="G21" s="349">
        <f>(4*0.1011+5*0.0959+3*0.0949)/12</f>
        <v>9.7383333333333322E-2</v>
      </c>
      <c r="H21" s="349">
        <f>(0.1048*5+0.1036*7)/12</f>
        <v>0.10410000000000001</v>
      </c>
      <c r="I21" s="414">
        <f>0.1326*0.5+0.1028*0.25+0.1048*0.25</f>
        <v>0.1182</v>
      </c>
      <c r="J21" s="349">
        <f>(2*0.1056+0.1276+0.1286)/4</f>
        <v>0.11685</v>
      </c>
      <c r="K21" s="372">
        <f>0.1056</f>
        <v>0.1056</v>
      </c>
    </row>
    <row r="22" spans="1:11">
      <c r="A22" s="241">
        <v>100000</v>
      </c>
      <c r="B22" s="242"/>
      <c r="C22" s="242"/>
      <c r="D22" s="242"/>
      <c r="E22" s="242"/>
      <c r="F22" s="349">
        <v>8.0600000000000005E-2</v>
      </c>
      <c r="G22" s="349">
        <f>(4*0.0918+5*0.0866+3*0.0856)/12</f>
        <v>8.8083333333333333E-2</v>
      </c>
      <c r="H22" s="349">
        <f>(0.0955*5+0.0943*7)/12</f>
        <v>9.4799999999999995E-2</v>
      </c>
      <c r="I22" s="414">
        <f>0.1251*0.5+0.0953*0.25+0.0955*0.25</f>
        <v>0.11024999999999999</v>
      </c>
      <c r="J22" s="349">
        <f>(2*0.0966+0.1186+0.1211)/4</f>
        <v>0.108225</v>
      </c>
      <c r="K22" s="372">
        <f>0.0966</f>
        <v>9.6600000000000005E-2</v>
      </c>
    </row>
    <row r="23" spans="1:11">
      <c r="A23" s="241">
        <v>250000</v>
      </c>
      <c r="B23" s="242"/>
      <c r="C23" s="242"/>
      <c r="D23" s="242"/>
      <c r="E23" s="242"/>
      <c r="F23" s="349">
        <v>7.7200000000000005E-2</v>
      </c>
      <c r="G23" s="349">
        <f>(4*0.0884+5*0.0832+3*0.0822)/12</f>
        <v>8.4683333333333333E-2</v>
      </c>
      <c r="H23" s="349">
        <f>(0.0921*5+0.0909*7)/12</f>
        <v>9.1399999999999995E-2</v>
      </c>
      <c r="I23" s="414">
        <f>0.1219*0.5+0.0921*0.25+0.0921*0.25</f>
        <v>0.107</v>
      </c>
      <c r="J23" s="349">
        <f>(2*0.0931+0.1151+0.1179)/4</f>
        <v>0.1048</v>
      </c>
      <c r="K23" s="372">
        <f>0.0931</f>
        <v>9.3100000000000002E-2</v>
      </c>
    </row>
    <row r="24" spans="1:11">
      <c r="A24" s="241">
        <v>500000</v>
      </c>
      <c r="B24" s="242"/>
      <c r="C24" s="242"/>
      <c r="D24" s="242"/>
      <c r="E24" s="242"/>
      <c r="F24" s="349">
        <v>7.3800000000000004E-2</v>
      </c>
      <c r="G24" s="349">
        <f>(4*0.085+5*0.0798+3*0.0788)/12</f>
        <v>8.1283333333333332E-2</v>
      </c>
      <c r="H24" s="349">
        <f>(0.0887*5+0.0875*7)/12</f>
        <v>8.8000000000000009E-2</v>
      </c>
      <c r="I24" s="414">
        <f>0.119*0.5+0.0892*0.25+0.0887*0.25</f>
        <v>0.103975</v>
      </c>
      <c r="J24" s="349">
        <f>(2*0.0899+0.1119+0.115)/4</f>
        <v>0.10167499999999999</v>
      </c>
      <c r="K24" s="372">
        <f>0.0899</f>
        <v>8.9899999999999994E-2</v>
      </c>
    </row>
    <row r="25" spans="1:11">
      <c r="A25" s="241">
        <v>1000000</v>
      </c>
      <c r="B25" s="242"/>
      <c r="C25" s="242"/>
      <c r="D25" s="242"/>
      <c r="E25" s="242"/>
      <c r="F25" s="349">
        <v>7.0599999999999996E-2</v>
      </c>
      <c r="G25" s="349">
        <f>(4*0.0818+5*0.0766+3*0.0756)/12</f>
        <v>7.8083333333333324E-2</v>
      </c>
      <c r="H25" s="349">
        <f>(0.0855*5+0.0843*7)/12</f>
        <v>8.48E-2</v>
      </c>
      <c r="I25" s="414">
        <f>0.1161*0.5+0.0863*0.25+0.0855*0.25</f>
        <v>0.10100000000000001</v>
      </c>
      <c r="J25" s="349">
        <f>(2*0.0867+0.1087+0.1121)/4</f>
        <v>9.8549999999999999E-2</v>
      </c>
      <c r="K25" s="372">
        <f>0.0867</f>
        <v>8.6699999999999999E-2</v>
      </c>
    </row>
    <row r="26" spans="1:11">
      <c r="A26" s="241">
        <v>2500000</v>
      </c>
      <c r="B26" s="258"/>
      <c r="C26" s="258"/>
      <c r="D26" s="258"/>
      <c r="E26" s="258"/>
      <c r="F26" s="350">
        <v>6.7400000000000002E-2</v>
      </c>
      <c r="G26" s="350">
        <f>(4*0.0786+5*0.0734+3*0.0724)/12</f>
        <v>7.4883333333333343E-2</v>
      </c>
      <c r="H26" s="350">
        <f>(0.0823*5+0.0811*7)/12</f>
        <v>8.1600000000000006E-2</v>
      </c>
      <c r="I26" s="415">
        <f>0.113*0.5+0.0832*0.25+0.0823*0.25</f>
        <v>9.7875000000000004E-2</v>
      </c>
      <c r="J26" s="349">
        <f>(2*0.0838+0.1058+0.109)/4</f>
        <v>9.5599999999999991E-2</v>
      </c>
      <c r="K26" s="372">
        <f>0.0838</f>
        <v>8.3799999999999999E-2</v>
      </c>
    </row>
    <row r="27" spans="1:11">
      <c r="A27" s="340" t="s">
        <v>405</v>
      </c>
      <c r="B27" s="245"/>
      <c r="C27" s="245"/>
      <c r="D27" s="245"/>
      <c r="E27" s="245"/>
      <c r="F27" s="351">
        <v>6.4299999999999996E-2</v>
      </c>
      <c r="G27" s="351">
        <f>(4*0.0755+5*0.0703+3*0.0693)/12</f>
        <v>7.1783333333333324E-2</v>
      </c>
      <c r="H27" s="351">
        <f>(0.0792*5+0.078*7)/12</f>
        <v>7.85E-2</v>
      </c>
      <c r="I27" s="416">
        <f>0.11*0.5+0.0802*0.25+0.0792*0.25</f>
        <v>9.4850000000000004E-2</v>
      </c>
      <c r="J27" s="377">
        <f>(2*0.0812+0.1032+0.106)/4</f>
        <v>9.2899999999999996E-2</v>
      </c>
      <c r="K27" s="373">
        <f>0.0812</f>
        <v>8.1199999999999994E-2</v>
      </c>
    </row>
    <row r="30" spans="1:11">
      <c r="A30" s="229" t="s">
        <v>391</v>
      </c>
      <c r="B30" s="230"/>
      <c r="C30" s="230"/>
      <c r="D30" s="230"/>
      <c r="E30" s="230"/>
      <c r="F30" s="230"/>
      <c r="G30" s="230"/>
      <c r="H30" s="230"/>
      <c r="I30" s="230"/>
      <c r="J30" s="230"/>
      <c r="K30" s="230"/>
    </row>
    <row r="31" spans="1:11">
      <c r="A31" s="229"/>
      <c r="B31" s="230"/>
      <c r="C31" s="230"/>
      <c r="D31" s="230"/>
      <c r="E31" s="230"/>
      <c r="F31" s="230"/>
      <c r="G31" s="230"/>
      <c r="H31" s="230"/>
      <c r="I31" s="230"/>
      <c r="J31" s="230"/>
      <c r="K31" s="230"/>
    </row>
    <row r="32" spans="1:11">
      <c r="A32" s="229" t="s">
        <v>374</v>
      </c>
      <c r="B32" s="230"/>
      <c r="C32" s="230"/>
      <c r="D32" s="230"/>
      <c r="E32" s="230"/>
      <c r="F32" s="230"/>
      <c r="G32" s="230"/>
      <c r="H32" s="230"/>
      <c r="I32" s="230"/>
      <c r="J32" s="230"/>
      <c r="K32" s="230"/>
    </row>
    <row r="33" spans="1:11">
      <c r="A33" s="248" t="s">
        <v>385</v>
      </c>
      <c r="B33" s="249"/>
      <c r="C33" s="249"/>
      <c r="D33" s="249"/>
      <c r="E33" s="249"/>
      <c r="F33" s="249"/>
      <c r="G33" s="249"/>
      <c r="H33" s="249"/>
      <c r="I33" s="249"/>
      <c r="J33" s="249"/>
      <c r="K33" s="374"/>
    </row>
    <row r="34" spans="1:11">
      <c r="A34" s="250">
        <v>0</v>
      </c>
      <c r="B34" s="251"/>
      <c r="C34" s="251"/>
      <c r="D34" s="251"/>
      <c r="E34" s="251"/>
      <c r="F34" s="251">
        <f t="shared" ref="F34:G34" si="0">IF(AND(Wärmeerzeugerleistung&gt;=$A34,Wärmeerzeugerleistung&lt;$A35),F6,0)</f>
        <v>150</v>
      </c>
      <c r="G34" s="251">
        <f t="shared" si="0"/>
        <v>150</v>
      </c>
      <c r="H34" s="251">
        <f t="shared" ref="H34" si="1">IF(AND(Wärmeerzeugerleistung&gt;=$A34,Wärmeerzeugerleistung&lt;$A35),H6,0)</f>
        <v>150</v>
      </c>
      <c r="I34" s="251">
        <f t="shared" ref="I34:J43" si="2">IF(AND(Wärmeerzeugerleistung&gt;=$A34,Wärmeerzeugerleistung&lt;$A35),I6,0)</f>
        <v>154.5</v>
      </c>
      <c r="J34" s="251">
        <f t="shared" si="2"/>
        <v>147</v>
      </c>
      <c r="K34" s="375">
        <f t="shared" ref="K34:K43" si="3">IF(AND(Wärmeerzeugerleistung&gt;=$A34,Wärmeerzeugerleistung&lt;$A35),K6,0)</f>
        <v>144</v>
      </c>
    </row>
    <row r="35" spans="1:11">
      <c r="A35" s="250">
        <v>45</v>
      </c>
      <c r="B35" s="251"/>
      <c r="C35" s="251"/>
      <c r="D35" s="251"/>
      <c r="E35" s="251"/>
      <c r="F35" s="251">
        <f t="shared" ref="F35:G35" si="4">IF(AND(Wärmeerzeugerleistung&gt;=$A35,Wärmeerzeugerleistung&lt;$A36),F7,0)</f>
        <v>0</v>
      </c>
      <c r="G35" s="251">
        <f t="shared" si="4"/>
        <v>0</v>
      </c>
      <c r="H35" s="251">
        <f t="shared" ref="H35" si="5">IF(AND(Wärmeerzeugerleistung&gt;=$A35,Wärmeerzeugerleistung&lt;$A36),H7,0)</f>
        <v>0</v>
      </c>
      <c r="I35" s="251">
        <f t="shared" si="2"/>
        <v>0</v>
      </c>
      <c r="J35" s="251">
        <f t="shared" si="2"/>
        <v>0</v>
      </c>
      <c r="K35" s="375">
        <f t="shared" si="3"/>
        <v>0</v>
      </c>
    </row>
    <row r="36" spans="1:11">
      <c r="A36" s="250">
        <v>70</v>
      </c>
      <c r="B36" s="251"/>
      <c r="C36" s="251"/>
      <c r="D36" s="251"/>
      <c r="E36" s="251"/>
      <c r="F36" s="251">
        <f t="shared" ref="F36:G36" si="6">IF(AND(Wärmeerzeugerleistung&gt;=$A36,Wärmeerzeugerleistung&lt;$A37),F8,0)</f>
        <v>0</v>
      </c>
      <c r="G36" s="251">
        <f t="shared" si="6"/>
        <v>0</v>
      </c>
      <c r="H36" s="251">
        <f t="shared" ref="H36" si="7">IF(AND(Wärmeerzeugerleistung&gt;=$A36,Wärmeerzeugerleistung&lt;$A37),H8,0)</f>
        <v>0</v>
      </c>
      <c r="I36" s="251">
        <f t="shared" si="2"/>
        <v>0</v>
      </c>
      <c r="J36" s="251">
        <f t="shared" si="2"/>
        <v>0</v>
      </c>
      <c r="K36" s="375">
        <f t="shared" si="3"/>
        <v>0</v>
      </c>
    </row>
    <row r="37" spans="1:11">
      <c r="A37" s="250">
        <v>120</v>
      </c>
      <c r="B37" s="251"/>
      <c r="C37" s="251"/>
      <c r="D37" s="251"/>
      <c r="E37" s="251"/>
      <c r="F37" s="251">
        <f t="shared" ref="F37:G37" si="8">IF(AND(Wärmeerzeugerleistung&gt;=$A37,Wärmeerzeugerleistung&lt;$A38),F9,0)</f>
        <v>0</v>
      </c>
      <c r="G37" s="251">
        <f t="shared" si="8"/>
        <v>0</v>
      </c>
      <c r="H37" s="251">
        <f t="shared" ref="H37" si="9">IF(AND(Wärmeerzeugerleistung&gt;=$A37,Wärmeerzeugerleistung&lt;$A38),H9,0)</f>
        <v>0</v>
      </c>
      <c r="I37" s="251">
        <f t="shared" si="2"/>
        <v>0</v>
      </c>
      <c r="J37" s="251">
        <f t="shared" si="2"/>
        <v>0</v>
      </c>
      <c r="K37" s="375">
        <f t="shared" si="3"/>
        <v>0</v>
      </c>
    </row>
    <row r="38" spans="1:11">
      <c r="A38" s="250">
        <v>188</v>
      </c>
      <c r="B38" s="251"/>
      <c r="C38" s="251"/>
      <c r="D38" s="251"/>
      <c r="E38" s="251"/>
      <c r="F38" s="251">
        <f t="shared" ref="F38:G38" si="10">IF(AND(Wärmeerzeugerleistung&gt;=$A38,Wärmeerzeugerleistung&lt;$A39),F10,0)</f>
        <v>0</v>
      </c>
      <c r="G38" s="251">
        <f t="shared" si="10"/>
        <v>0</v>
      </c>
      <c r="H38" s="251">
        <f t="shared" ref="H38" si="11">IF(AND(Wärmeerzeugerleistung&gt;=$A38,Wärmeerzeugerleistung&lt;$A39),H10,0)</f>
        <v>0</v>
      </c>
      <c r="I38" s="251">
        <f t="shared" si="2"/>
        <v>0</v>
      </c>
      <c r="J38" s="251">
        <f t="shared" si="2"/>
        <v>0</v>
      </c>
      <c r="K38" s="375">
        <f t="shared" si="3"/>
        <v>0</v>
      </c>
    </row>
    <row r="39" spans="1:11">
      <c r="A39" s="250">
        <v>300</v>
      </c>
      <c r="B39" s="251"/>
      <c r="C39" s="251"/>
      <c r="D39" s="251"/>
      <c r="E39" s="251"/>
      <c r="F39" s="251">
        <f t="shared" ref="F39:G39" si="12">IF(AND(Wärmeerzeugerleistung&gt;=$A39,Wärmeerzeugerleistung&lt;$A40),F11,0)</f>
        <v>0</v>
      </c>
      <c r="G39" s="251">
        <f t="shared" si="12"/>
        <v>0</v>
      </c>
      <c r="H39" s="251">
        <f t="shared" ref="H39" si="13">IF(AND(Wärmeerzeugerleistung&gt;=$A39,Wärmeerzeugerleistung&lt;$A40),H11,0)</f>
        <v>0</v>
      </c>
      <c r="I39" s="251">
        <f t="shared" si="2"/>
        <v>0</v>
      </c>
      <c r="J39" s="251">
        <f t="shared" si="2"/>
        <v>0</v>
      </c>
      <c r="K39" s="375">
        <f t="shared" si="3"/>
        <v>0</v>
      </c>
    </row>
    <row r="40" spans="1:11">
      <c r="A40" s="250">
        <v>460</v>
      </c>
      <c r="B40" s="251"/>
      <c r="C40" s="251"/>
      <c r="D40" s="251"/>
      <c r="E40" s="251"/>
      <c r="F40" s="251">
        <f t="shared" ref="F40:G40" si="14">IF(AND(Wärmeerzeugerleistung&gt;=$A40,Wärmeerzeugerleistung&lt;$A41),F12,0)</f>
        <v>0</v>
      </c>
      <c r="G40" s="251">
        <f t="shared" si="14"/>
        <v>0</v>
      </c>
      <c r="H40" s="251">
        <f t="shared" ref="H40" si="15">IF(AND(Wärmeerzeugerleistung&gt;=$A40,Wärmeerzeugerleistung&lt;$A41),H12,0)</f>
        <v>0</v>
      </c>
      <c r="I40" s="251">
        <f t="shared" si="2"/>
        <v>0</v>
      </c>
      <c r="J40" s="251">
        <f t="shared" si="2"/>
        <v>0</v>
      </c>
      <c r="K40" s="375">
        <f t="shared" si="3"/>
        <v>0</v>
      </c>
    </row>
    <row r="41" spans="1:11">
      <c r="A41" s="250">
        <v>705</v>
      </c>
      <c r="B41" s="251"/>
      <c r="C41" s="251"/>
      <c r="D41" s="251"/>
      <c r="E41" s="251"/>
      <c r="F41" s="251">
        <f t="shared" ref="F41:G41" si="16">IF(AND(Wärmeerzeugerleistung&gt;=$A41,Wärmeerzeugerleistung&lt;$A42),F13,0)</f>
        <v>0</v>
      </c>
      <c r="G41" s="251">
        <f t="shared" si="16"/>
        <v>0</v>
      </c>
      <c r="H41" s="251">
        <f t="shared" ref="H41" si="17">IF(AND(Wärmeerzeugerleistung&gt;=$A41,Wärmeerzeugerleistung&lt;$A42),H13,0)</f>
        <v>0</v>
      </c>
      <c r="I41" s="251">
        <f t="shared" si="2"/>
        <v>0</v>
      </c>
      <c r="J41" s="251">
        <f t="shared" si="2"/>
        <v>0</v>
      </c>
      <c r="K41" s="375">
        <f t="shared" si="3"/>
        <v>0</v>
      </c>
    </row>
    <row r="42" spans="1:11">
      <c r="A42" s="250">
        <v>1128</v>
      </c>
      <c r="B42" s="251"/>
      <c r="C42" s="251"/>
      <c r="D42" s="251"/>
      <c r="E42" s="251"/>
      <c r="F42" s="251">
        <f t="shared" ref="F42:G42" si="18">IF(AND(Wärmeerzeugerleistung&gt;=$A42,Wärmeerzeugerleistung&lt;$A43),F14,0)</f>
        <v>0</v>
      </c>
      <c r="G42" s="251">
        <f t="shared" si="18"/>
        <v>0</v>
      </c>
      <c r="H42" s="251">
        <f t="shared" ref="H42" si="19">IF(AND(Wärmeerzeugerleistung&gt;=$A42,Wärmeerzeugerleistung&lt;$A43),H14,0)</f>
        <v>0</v>
      </c>
      <c r="I42" s="251">
        <f t="shared" si="2"/>
        <v>0</v>
      </c>
      <c r="J42" s="251">
        <f t="shared" si="2"/>
        <v>0</v>
      </c>
      <c r="K42" s="375">
        <f t="shared" si="3"/>
        <v>0</v>
      </c>
    </row>
    <row r="43" spans="1:11">
      <c r="A43" s="250">
        <v>1762</v>
      </c>
      <c r="B43" s="251"/>
      <c r="C43" s="251"/>
      <c r="D43" s="251"/>
      <c r="E43" s="251"/>
      <c r="F43" s="251">
        <f t="shared" ref="F43:G43" si="20">IF(AND(Wärmeerzeugerleistung&gt;=$A43,Wärmeerzeugerleistung&lt;$A44),F15,0)</f>
        <v>0</v>
      </c>
      <c r="G43" s="251">
        <f t="shared" si="20"/>
        <v>0</v>
      </c>
      <c r="H43" s="251">
        <f t="shared" ref="H43" si="21">IF(AND(Wärmeerzeugerleistung&gt;=$A43,Wärmeerzeugerleistung&lt;$A44),H15,0)</f>
        <v>0</v>
      </c>
      <c r="I43" s="251">
        <f t="shared" si="2"/>
        <v>0</v>
      </c>
      <c r="J43" s="251">
        <f t="shared" si="2"/>
        <v>0</v>
      </c>
      <c r="K43" s="375">
        <f t="shared" si="3"/>
        <v>0</v>
      </c>
    </row>
    <row r="44" spans="1:11">
      <c r="A44" s="250">
        <v>2820</v>
      </c>
      <c r="B44" s="251"/>
      <c r="C44" s="251"/>
      <c r="D44" s="251"/>
      <c r="E44" s="251"/>
      <c r="F44" s="251">
        <f t="shared" ref="F44:K44" si="22">IF(Wärmeerzeugerleistung&gt;$A44,F16,0)</f>
        <v>0</v>
      </c>
      <c r="G44" s="251">
        <f t="shared" si="22"/>
        <v>0</v>
      </c>
      <c r="H44" s="251">
        <f t="shared" si="22"/>
        <v>0</v>
      </c>
      <c r="I44" s="251">
        <f t="shared" si="22"/>
        <v>0</v>
      </c>
      <c r="J44" s="251">
        <f t="shared" si="22"/>
        <v>0</v>
      </c>
      <c r="K44" s="375">
        <f t="shared" si="22"/>
        <v>0</v>
      </c>
    </row>
    <row r="45" spans="1:11">
      <c r="A45" s="252" t="s">
        <v>393</v>
      </c>
      <c r="B45" s="253"/>
      <c r="C45" s="253"/>
      <c r="D45" s="253"/>
      <c r="E45" s="253"/>
      <c r="F45" s="253">
        <f t="shared" ref="F45:K45" si="23">MAX(F34:F43)</f>
        <v>150</v>
      </c>
      <c r="G45" s="253">
        <f t="shared" si="23"/>
        <v>150</v>
      </c>
      <c r="H45" s="253">
        <f t="shared" si="23"/>
        <v>150</v>
      </c>
      <c r="I45" s="253">
        <f t="shared" si="23"/>
        <v>154.5</v>
      </c>
      <c r="J45" s="253">
        <f t="shared" si="23"/>
        <v>147</v>
      </c>
      <c r="K45" s="376">
        <f t="shared" si="23"/>
        <v>144</v>
      </c>
    </row>
    <row r="46" spans="1:11">
      <c r="A46" s="230"/>
      <c r="B46" s="230"/>
      <c r="C46" s="230"/>
      <c r="D46" s="230"/>
      <c r="E46" s="230"/>
      <c r="F46" s="230"/>
      <c r="G46" s="230"/>
      <c r="H46" s="230"/>
      <c r="I46" s="230"/>
      <c r="J46" s="230"/>
      <c r="K46" s="230"/>
    </row>
    <row r="47" spans="1:11">
      <c r="A47" s="231" t="s">
        <v>392</v>
      </c>
      <c r="B47" s="230"/>
      <c r="C47" s="230"/>
      <c r="D47" s="230"/>
      <c r="E47" s="230"/>
      <c r="F47" s="230"/>
      <c r="G47" s="230"/>
      <c r="H47" s="230"/>
      <c r="I47" s="230"/>
      <c r="J47" s="230"/>
      <c r="K47" s="230"/>
    </row>
    <row r="48" spans="1:11">
      <c r="A48" s="248" t="s">
        <v>387</v>
      </c>
      <c r="B48" s="249"/>
      <c r="C48" s="249"/>
      <c r="D48" s="249"/>
      <c r="E48" s="249"/>
      <c r="F48" s="249"/>
      <c r="G48" s="249"/>
      <c r="H48" s="249"/>
      <c r="I48" s="249"/>
      <c r="J48" s="249"/>
      <c r="K48" s="374"/>
    </row>
    <row r="49" spans="1:11">
      <c r="A49" s="250">
        <v>5000</v>
      </c>
      <c r="B49" s="251"/>
      <c r="C49" s="251"/>
      <c r="D49" s="251"/>
      <c r="E49" s="251"/>
      <c r="F49" s="251">
        <f>IF(NEB&gt;$A49,$A49*F20,NEB*F20)</f>
        <v>520</v>
      </c>
      <c r="G49" s="251">
        <f>IF(NEB&gt;$A49,$A49*G20,NEB*G20)</f>
        <v>557.41666666666663</v>
      </c>
      <c r="H49" s="251">
        <f>IF(NEB&gt;$A49,$A49*H20,NEB*H20)</f>
        <v>591.00000000000011</v>
      </c>
      <c r="I49" s="251">
        <f>IF(NEB&gt;$A49,$A49*I20,NEB*I20)</f>
        <v>649.49999999999989</v>
      </c>
      <c r="J49" s="251">
        <f>IF(NEB&gt;$A49,$A49*J20,NEB*J20)</f>
        <v>648.49999999999989</v>
      </c>
      <c r="K49" s="375">
        <f>IF(NEB&gt;$A49,$A49*K20,NEB*K20)</f>
        <v>595.5</v>
      </c>
    </row>
    <row r="50" spans="1:11">
      <c r="A50" s="250">
        <v>50000</v>
      </c>
      <c r="B50" s="251"/>
      <c r="C50" s="251"/>
      <c r="D50" s="251"/>
      <c r="E50" s="251"/>
      <c r="F50" s="251">
        <f>IF(NEB&gt;$A50,($A50-$A49)*F21,MAX(0,NEB-$A49)*F21)</f>
        <v>4045.4999999999995</v>
      </c>
      <c r="G50" s="251">
        <f>IF(NEB&gt;$A50,($A50-$A49)*G21,MAX(0,NEB-$A49)*G21)</f>
        <v>4382.2499999999991</v>
      </c>
      <c r="H50" s="251">
        <f>IF(NEB&gt;$A50,($A50-$A49)*H21,MAX(0,NEB-$A49)*H21)</f>
        <v>4684.5000000000009</v>
      </c>
      <c r="I50" s="251">
        <f>IF(NEB&gt;$A50,($A50-$A49)*I21,MAX(0,NEB-$A49)*I21)</f>
        <v>5319</v>
      </c>
      <c r="J50" s="251">
        <f>IF(NEB&gt;$A50,($A50-$A49)*J21,MAX(0,NEB-$A49)*J21)</f>
        <v>5258.25</v>
      </c>
      <c r="K50" s="375">
        <f>IF(NEB&gt;$A50,($A50-$A49)*K21,MAX(0,NEB-$A49)*K21)</f>
        <v>4752</v>
      </c>
    </row>
    <row r="51" spans="1:11">
      <c r="A51" s="250">
        <v>100000</v>
      </c>
      <c r="B51" s="251"/>
      <c r="C51" s="251"/>
      <c r="D51" s="251"/>
      <c r="E51" s="251"/>
      <c r="F51" s="251">
        <f>IF(NEB&gt;$A51,($A51-$A50)*F22,MAX(0,NEB-$A50)*F22)</f>
        <v>4030.0000000000005</v>
      </c>
      <c r="G51" s="251">
        <f>IF(NEB&gt;$A51,($A51-$A50)*G22,MAX(0,NEB-$A50)*G22)</f>
        <v>4404.166666666667</v>
      </c>
      <c r="H51" s="251">
        <f>IF(NEB&gt;$A51,($A51-$A50)*H22,MAX(0,NEB-$A50)*H22)</f>
        <v>4740</v>
      </c>
      <c r="I51" s="251">
        <f>IF(NEB&gt;$A51,($A51-$A50)*I22,MAX(0,NEB-$A50)*I22)</f>
        <v>5512.4999999999991</v>
      </c>
      <c r="J51" s="251">
        <f>IF(NEB&gt;$A51,($A51-$A50)*J22,MAX(0,NEB-$A50)*J22)</f>
        <v>5411.25</v>
      </c>
      <c r="K51" s="375">
        <f>IF(NEB&gt;$A51,($A51-$A50)*K22,MAX(0,NEB-$A50)*K22)</f>
        <v>4830</v>
      </c>
    </row>
    <row r="52" spans="1:11">
      <c r="A52" s="250">
        <v>250000</v>
      </c>
      <c r="B52" s="251"/>
      <c r="C52" s="251"/>
      <c r="D52" s="251"/>
      <c r="E52" s="251"/>
      <c r="F52" s="251">
        <f>IF(NEB&gt;$A52,($A52-$A51)*F23,MAX(0,NEB-$A51)*F23)</f>
        <v>11580</v>
      </c>
      <c r="G52" s="251">
        <f>IF(NEB&gt;$A52,($A52-$A51)*G23,MAX(0,NEB-$A51)*G23)</f>
        <v>12702.5</v>
      </c>
      <c r="H52" s="251">
        <f>IF(NEB&gt;$A52,($A52-$A51)*H23,MAX(0,NEB-$A51)*H23)</f>
        <v>13710</v>
      </c>
      <c r="I52" s="251">
        <f>IF(NEB&gt;$A52,($A52-$A51)*I23,MAX(0,NEB-$A51)*I23)</f>
        <v>16050</v>
      </c>
      <c r="J52" s="251">
        <f>IF(NEB&gt;$A52,($A52-$A51)*J23,MAX(0,NEB-$A51)*J23)</f>
        <v>15720</v>
      </c>
      <c r="K52" s="375">
        <f>IF(NEB&gt;$A52,($A52-$A51)*K23,MAX(0,NEB-$A51)*K23)</f>
        <v>13965</v>
      </c>
    </row>
    <row r="53" spans="1:11">
      <c r="A53" s="250">
        <v>500000</v>
      </c>
      <c r="B53" s="251"/>
      <c r="C53" s="251"/>
      <c r="D53" s="251"/>
      <c r="E53" s="251"/>
      <c r="F53" s="251">
        <f>IF(NEB&gt;$A53,($A53-$A52)*F24,MAX(0,NEB-$A52)*F24)</f>
        <v>18450</v>
      </c>
      <c r="G53" s="251">
        <f>IF(NEB&gt;$A53,($A53-$A52)*G24,MAX(0,NEB-$A52)*G24)</f>
        <v>20320.833333333332</v>
      </c>
      <c r="H53" s="251">
        <f>IF(NEB&gt;$A53,($A53-$A52)*H24,MAX(0,NEB-$A52)*H24)</f>
        <v>22000.000000000004</v>
      </c>
      <c r="I53" s="251">
        <f>IF(NEB&gt;$A53,($A53-$A52)*I24,MAX(0,NEB-$A52)*I24)</f>
        <v>25993.75</v>
      </c>
      <c r="J53" s="251">
        <f>IF(NEB&gt;$A53,($A53-$A52)*J24,MAX(0,NEB-$A52)*J24)</f>
        <v>25418.749999999996</v>
      </c>
      <c r="K53" s="375">
        <f>IF(NEB&gt;$A53,($A53-$A52)*K24,MAX(0,NEB-$A52)*K24)</f>
        <v>22475</v>
      </c>
    </row>
    <row r="54" spans="1:11">
      <c r="A54" s="250">
        <v>1000000</v>
      </c>
      <c r="B54" s="251"/>
      <c r="C54" s="251"/>
      <c r="D54" s="251"/>
      <c r="E54" s="251"/>
      <c r="F54" s="251">
        <f>IF(NEB&gt;$A54,($A54-$A53)*F25,MAX(0,NEB-$A53)*F25)</f>
        <v>35300</v>
      </c>
      <c r="G54" s="251">
        <f>IF(NEB&gt;$A54,($A54-$A53)*G25,MAX(0,NEB-$A53)*G25)</f>
        <v>39041.666666666664</v>
      </c>
      <c r="H54" s="251">
        <f>IF(NEB&gt;$A54,($A54-$A53)*H25,MAX(0,NEB-$A53)*H25)</f>
        <v>42400</v>
      </c>
      <c r="I54" s="251">
        <f>IF(NEB&gt;$A54,($A54-$A53)*I25,MAX(0,NEB-$A53)*I25)</f>
        <v>50500</v>
      </c>
      <c r="J54" s="251">
        <f>IF(NEB&gt;$A54,($A54-$A53)*J25,MAX(0,NEB-$A53)*J25)</f>
        <v>49275</v>
      </c>
      <c r="K54" s="375">
        <f>IF(NEB&gt;$A54,($A54-$A53)*K25,MAX(0,NEB-$A53)*K25)</f>
        <v>43350</v>
      </c>
    </row>
    <row r="55" spans="1:11">
      <c r="A55" s="250">
        <v>2500000</v>
      </c>
      <c r="B55" s="251"/>
      <c r="C55" s="251"/>
      <c r="D55" s="251"/>
      <c r="E55" s="251"/>
      <c r="F55" s="251">
        <f>IF(NEB&gt;$A55,($A55-$A54)*F26,MAX(0,NEB-$A54)*F26)</f>
        <v>101100</v>
      </c>
      <c r="G55" s="251">
        <f>IF(NEB&gt;$A55,($A55-$A54)*G26,MAX(0,NEB-$A54)*G26)</f>
        <v>112325.00000000001</v>
      </c>
      <c r="H55" s="251">
        <f>IF(NEB&gt;$A55,($A55-$A54)*H26,MAX(0,NEB-$A54)*H26)</f>
        <v>122400.00000000001</v>
      </c>
      <c r="I55" s="251">
        <f>IF(NEB&gt;$A55,($A55-$A54)*I26,MAX(0,NEB-$A54)*I26)</f>
        <v>146812.5</v>
      </c>
      <c r="J55" s="251">
        <f>IF(NEB&gt;$A55,($A55-$A54)*J26,MAX(0,NEB-$A54)*J26)</f>
        <v>143400</v>
      </c>
      <c r="K55" s="375">
        <f>IF(NEB&gt;$A55,($A55-$A54)*K26,MAX(0,NEB-$A54)*K26)</f>
        <v>125700</v>
      </c>
    </row>
    <row r="56" spans="1:11">
      <c r="A56" s="270" t="s">
        <v>405</v>
      </c>
      <c r="B56" s="341"/>
      <c r="C56" s="341"/>
      <c r="D56" s="341"/>
      <c r="E56" s="341"/>
      <c r="F56" s="251" t="e">
        <f>MAX(0,NEB-$A55)*F27</f>
        <v>#VALUE!</v>
      </c>
      <c r="G56" s="251" t="e">
        <f>MAX(0,NEB-$A55)*G27</f>
        <v>#VALUE!</v>
      </c>
      <c r="H56" s="251" t="e">
        <f>MAX(0,NEB-$A55)*H27</f>
        <v>#VALUE!</v>
      </c>
      <c r="I56" s="251" t="e">
        <f>MAX(0,NEB-$A55)*I27</f>
        <v>#VALUE!</v>
      </c>
      <c r="J56" s="251" t="e">
        <f>MAX(0,NEB-$A55)*J27</f>
        <v>#VALUE!</v>
      </c>
      <c r="K56" s="375" t="e">
        <f>MAX(0,NEB-$A55)*K27</f>
        <v>#VALUE!</v>
      </c>
    </row>
    <row r="57" spans="1:11">
      <c r="A57" s="252" t="s">
        <v>393</v>
      </c>
      <c r="B57" s="253"/>
      <c r="C57" s="253"/>
      <c r="D57" s="253"/>
      <c r="E57" s="253"/>
      <c r="F57" s="253" t="e">
        <f t="shared" ref="F57:K57" si="24">SUM(F49:F56)</f>
        <v>#VALUE!</v>
      </c>
      <c r="G57" s="253" t="e">
        <f t="shared" si="24"/>
        <v>#VALUE!</v>
      </c>
      <c r="H57" s="253" t="e">
        <f t="shared" si="24"/>
        <v>#VALUE!</v>
      </c>
      <c r="I57" s="253" t="e">
        <f t="shared" si="24"/>
        <v>#VALUE!</v>
      </c>
      <c r="J57" s="253" t="e">
        <f t="shared" si="24"/>
        <v>#VALUE!</v>
      </c>
      <c r="K57" s="376" t="e">
        <f t="shared" si="24"/>
        <v>#VALUE!</v>
      </c>
    </row>
    <row r="58" spans="1:11" ht="15.75" thickBot="1"/>
    <row r="59" spans="1:11" ht="15.75" thickBot="1">
      <c r="A59" s="254" t="s">
        <v>394</v>
      </c>
      <c r="B59" s="255"/>
      <c r="C59" s="255"/>
      <c r="D59" s="255"/>
      <c r="E59" s="255"/>
      <c r="F59" s="255" t="e">
        <f>(F57+F45)/NEB</f>
        <v>#VALUE!</v>
      </c>
      <c r="G59" s="255" t="e">
        <f>(G57+G45)/NEB</f>
        <v>#VALUE!</v>
      </c>
      <c r="H59" s="255" t="e">
        <f>(H57+H45)/NEB</f>
        <v>#VALUE!</v>
      </c>
      <c r="I59" s="255" t="e">
        <f>(I57+I45)/NEB</f>
        <v>#VALUE!</v>
      </c>
      <c r="J59" s="255" t="e">
        <f>(J57+J45)/NEB</f>
        <v>#VALUE!</v>
      </c>
      <c r="K59" s="256" t="e">
        <f>(K57+K45)/NEB</f>
        <v>#VALUE!</v>
      </c>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79"/>
  <sheetViews>
    <sheetView topLeftCell="A48" workbookViewId="0">
      <selection activeCell="G67" sqref="G67"/>
    </sheetView>
  </sheetViews>
  <sheetFormatPr baseColWidth="10" defaultRowHeight="15"/>
  <cols>
    <col min="16" max="16" width="13.5703125" bestFit="1" customWidth="1"/>
  </cols>
  <sheetData>
    <row r="1" spans="1:17">
      <c r="A1" s="38">
        <v>2.2999999999999998</v>
      </c>
      <c r="B1" s="537" t="s">
        <v>764</v>
      </c>
      <c r="C1" s="537"/>
      <c r="D1" s="15"/>
      <c r="E1" s="38"/>
      <c r="F1" s="38"/>
      <c r="G1" s="38"/>
      <c r="H1" s="38"/>
      <c r="I1" s="38"/>
      <c r="J1" s="38"/>
      <c r="K1" s="38"/>
      <c r="L1" s="38"/>
      <c r="M1" s="38"/>
      <c r="N1" s="38"/>
      <c r="O1" s="38"/>
      <c r="P1" s="38"/>
      <c r="Q1" s="38"/>
    </row>
    <row r="2" spans="1:17">
      <c r="A2" s="38"/>
      <c r="B2" s="38"/>
      <c r="C2" s="15"/>
      <c r="D2" s="15"/>
      <c r="E2" s="38"/>
      <c r="F2" s="38"/>
      <c r="G2" s="38"/>
      <c r="H2" s="38"/>
      <c r="I2" s="38"/>
      <c r="J2" s="38"/>
      <c r="K2" s="38"/>
      <c r="L2" s="38"/>
      <c r="M2" s="38"/>
      <c r="N2" s="38"/>
      <c r="O2" s="38"/>
      <c r="P2" s="38"/>
      <c r="Q2" s="38"/>
    </row>
    <row r="3" spans="1:17">
      <c r="A3" s="38"/>
      <c r="B3" s="38"/>
      <c r="C3" s="38"/>
      <c r="E3" s="38"/>
      <c r="F3" s="38"/>
      <c r="G3" s="38"/>
      <c r="H3" s="38"/>
      <c r="I3" s="38"/>
      <c r="J3" s="38"/>
      <c r="K3" s="38"/>
      <c r="L3" s="38"/>
      <c r="M3" s="38"/>
      <c r="N3" s="38"/>
      <c r="O3" s="38"/>
      <c r="P3" s="38"/>
      <c r="Q3" s="38"/>
    </row>
    <row r="4" spans="1:17">
      <c r="A4" s="38"/>
      <c r="B4" s="38"/>
      <c r="E4" s="38"/>
      <c r="F4" s="38"/>
      <c r="G4" s="38"/>
      <c r="H4" s="38"/>
      <c r="I4" s="38"/>
      <c r="J4" s="38"/>
      <c r="K4" s="38"/>
      <c r="L4" s="38"/>
      <c r="M4" s="38"/>
      <c r="N4" s="38"/>
      <c r="O4" s="38"/>
      <c r="P4" s="38"/>
      <c r="Q4" s="38"/>
    </row>
    <row r="5" spans="1:17" ht="15.75" thickBot="1">
      <c r="A5" s="535" t="s">
        <v>396</v>
      </c>
      <c r="B5" s="535"/>
      <c r="C5" s="90" t="s">
        <v>400</v>
      </c>
      <c r="D5" s="90"/>
      <c r="E5" s="89"/>
      <c r="F5" s="89"/>
      <c r="G5" s="89">
        <v>2028</v>
      </c>
      <c r="H5" s="89">
        <v>2027</v>
      </c>
      <c r="I5" s="89">
        <v>2026</v>
      </c>
      <c r="J5" s="89">
        <v>2025</v>
      </c>
      <c r="K5" s="89">
        <v>2024</v>
      </c>
      <c r="L5" s="89">
        <v>2023</v>
      </c>
      <c r="M5" s="89">
        <v>2022</v>
      </c>
      <c r="N5" s="89">
        <v>2021</v>
      </c>
      <c r="O5" s="89">
        <v>2020</v>
      </c>
      <c r="P5" s="89">
        <v>2019</v>
      </c>
      <c r="Q5" s="89">
        <v>2018</v>
      </c>
    </row>
    <row r="7" spans="1:17">
      <c r="A7" t="s">
        <v>215</v>
      </c>
      <c r="I7">
        <v>31.03</v>
      </c>
      <c r="J7">
        <v>28.23</v>
      </c>
      <c r="K7" s="232">
        <v>29.68</v>
      </c>
      <c r="L7" s="232">
        <v>26.36</v>
      </c>
      <c r="M7" s="232">
        <v>21.26</v>
      </c>
      <c r="N7" s="232">
        <v>21.16</v>
      </c>
      <c r="O7" s="232">
        <v>20.87</v>
      </c>
      <c r="P7" s="232">
        <v>20.55</v>
      </c>
      <c r="Q7" s="232">
        <v>24.64</v>
      </c>
    </row>
    <row r="8" spans="1:17">
      <c r="A8" t="s">
        <v>216</v>
      </c>
      <c r="I8">
        <v>28.83</v>
      </c>
      <c r="J8">
        <v>27.98</v>
      </c>
      <c r="K8" s="232">
        <v>29.42</v>
      </c>
      <c r="L8" s="232">
        <v>26.11</v>
      </c>
      <c r="M8" s="232">
        <v>21.01</v>
      </c>
      <c r="N8" s="232">
        <v>20.91</v>
      </c>
      <c r="O8" s="232">
        <v>20.61</v>
      </c>
      <c r="P8" s="232">
        <v>20.29</v>
      </c>
      <c r="Q8" s="232">
        <v>22.54</v>
      </c>
    </row>
    <row r="9" spans="1:17">
      <c r="A9" t="s">
        <v>217</v>
      </c>
      <c r="I9">
        <v>26.2</v>
      </c>
      <c r="J9">
        <v>25.82</v>
      </c>
      <c r="K9" s="232">
        <v>27.12</v>
      </c>
      <c r="L9" s="232">
        <v>23.96</v>
      </c>
      <c r="M9" s="232">
        <v>18.86</v>
      </c>
      <c r="N9" s="232">
        <v>18.760000000000002</v>
      </c>
      <c r="O9" s="232">
        <v>18.309999999999999</v>
      </c>
      <c r="P9" s="232">
        <v>17.989999999999998</v>
      </c>
      <c r="Q9" s="232">
        <v>18.45</v>
      </c>
    </row>
    <row r="10" spans="1:17">
      <c r="A10" t="s">
        <v>218</v>
      </c>
      <c r="I10">
        <v>27.2</v>
      </c>
      <c r="J10">
        <v>27.88</v>
      </c>
      <c r="K10" s="232">
        <v>29.31</v>
      </c>
      <c r="L10" s="232">
        <v>26</v>
      </c>
      <c r="M10" s="232">
        <v>20.9</v>
      </c>
      <c r="N10" s="232">
        <v>20.8</v>
      </c>
      <c r="O10" s="232">
        <v>20.49</v>
      </c>
      <c r="P10" s="232">
        <v>20.170000000000002</v>
      </c>
      <c r="Q10" s="232">
        <v>21.01</v>
      </c>
    </row>
    <row r="11" spans="1:17">
      <c r="A11" t="s">
        <v>219</v>
      </c>
      <c r="I11">
        <v>25.09</v>
      </c>
      <c r="J11">
        <v>26.03</v>
      </c>
      <c r="K11" s="232">
        <v>27.33</v>
      </c>
      <c r="L11" s="232">
        <v>24.16</v>
      </c>
      <c r="M11" s="232">
        <v>19.059999999999999</v>
      </c>
      <c r="N11" s="232">
        <v>18.96</v>
      </c>
      <c r="O11" s="232">
        <v>18.53</v>
      </c>
      <c r="P11" s="232">
        <v>18.21</v>
      </c>
      <c r="Q11" s="232">
        <v>18</v>
      </c>
    </row>
    <row r="12" spans="1:17">
      <c r="A12" t="s">
        <v>201</v>
      </c>
      <c r="I12">
        <v>24.52</v>
      </c>
      <c r="J12">
        <v>24</v>
      </c>
      <c r="K12" s="232">
        <v>25.17</v>
      </c>
      <c r="L12" s="232">
        <v>22.13</v>
      </c>
      <c r="M12" s="232">
        <v>17.03</v>
      </c>
      <c r="N12" s="232">
        <v>16.93</v>
      </c>
      <c r="O12" s="232">
        <v>16.36</v>
      </c>
      <c r="P12" s="232">
        <v>16.04</v>
      </c>
      <c r="Q12" s="232">
        <v>14.71</v>
      </c>
    </row>
    <row r="13" spans="1:17">
      <c r="A13" t="s">
        <v>202</v>
      </c>
      <c r="I13">
        <v>24.54</v>
      </c>
      <c r="J13">
        <v>26.47</v>
      </c>
      <c r="K13" s="232">
        <v>27.81</v>
      </c>
      <c r="L13" s="232">
        <v>24.6</v>
      </c>
      <c r="M13" s="232">
        <v>19.5</v>
      </c>
      <c r="N13" s="232">
        <v>19.399999999999999</v>
      </c>
      <c r="O13" s="232">
        <v>19</v>
      </c>
      <c r="P13" s="232">
        <v>18.68</v>
      </c>
      <c r="Q13" s="232">
        <v>18.11</v>
      </c>
    </row>
    <row r="14" spans="1:17">
      <c r="A14" t="s">
        <v>220</v>
      </c>
      <c r="I14">
        <v>26.43</v>
      </c>
      <c r="J14">
        <v>27.88</v>
      </c>
      <c r="K14" s="232">
        <v>29.31</v>
      </c>
      <c r="L14" s="232">
        <v>26.01</v>
      </c>
      <c r="M14" s="232">
        <v>20.91</v>
      </c>
      <c r="N14" s="232">
        <v>20.81</v>
      </c>
      <c r="O14" s="232">
        <v>20.5</v>
      </c>
      <c r="P14" s="232">
        <v>20.18</v>
      </c>
      <c r="Q14" s="232">
        <v>20.3</v>
      </c>
    </row>
    <row r="15" spans="1:17">
      <c r="A15" t="s">
        <v>221</v>
      </c>
      <c r="I15">
        <v>27.09</v>
      </c>
      <c r="J15">
        <v>28.6</v>
      </c>
      <c r="K15" s="232">
        <v>30.09</v>
      </c>
      <c r="L15" s="232">
        <v>26.74</v>
      </c>
      <c r="M15" s="232">
        <v>21.56</v>
      </c>
      <c r="N15" s="232">
        <v>21.46</v>
      </c>
      <c r="O15" s="232">
        <v>21.19</v>
      </c>
      <c r="P15" s="232">
        <v>20.87</v>
      </c>
      <c r="Q15" s="232">
        <v>21.07</v>
      </c>
    </row>
    <row r="16" spans="1:17">
      <c r="A16" t="s">
        <v>222</v>
      </c>
      <c r="I16">
        <v>26.16</v>
      </c>
      <c r="J16">
        <v>28.46</v>
      </c>
      <c r="K16" s="232">
        <v>29.94</v>
      </c>
      <c r="L16" s="232">
        <v>26.6</v>
      </c>
      <c r="M16" s="232">
        <v>21.5</v>
      </c>
      <c r="N16" s="232">
        <v>21.4</v>
      </c>
      <c r="O16" s="232">
        <v>21.13</v>
      </c>
      <c r="P16" s="232">
        <v>20.81</v>
      </c>
      <c r="Q16" s="232">
        <v>20.260000000000002</v>
      </c>
    </row>
    <row r="17" spans="1:17">
      <c r="A17" t="s">
        <v>204</v>
      </c>
      <c r="I17">
        <v>24.58</v>
      </c>
      <c r="J17">
        <v>25.16</v>
      </c>
      <c r="K17" s="232">
        <v>26.98</v>
      </c>
      <c r="L17" s="232">
        <v>23.78</v>
      </c>
      <c r="M17" s="232">
        <v>19.05</v>
      </c>
      <c r="N17" s="232">
        <v>18.95</v>
      </c>
      <c r="O17" s="232">
        <v>18.5</v>
      </c>
      <c r="P17" s="232">
        <v>18.079999999999998</v>
      </c>
      <c r="Q17" s="232">
        <v>17.75</v>
      </c>
    </row>
    <row r="18" spans="1:17">
      <c r="A18" t="s">
        <v>205</v>
      </c>
      <c r="I18">
        <v>24.16</v>
      </c>
      <c r="J18">
        <v>24.07</v>
      </c>
      <c r="K18" s="232">
        <v>25.81</v>
      </c>
      <c r="L18" s="232">
        <v>22.69</v>
      </c>
      <c r="M18" s="232">
        <v>17.89</v>
      </c>
      <c r="N18" s="232">
        <v>17.79</v>
      </c>
      <c r="O18" s="232">
        <v>17.3</v>
      </c>
      <c r="P18" s="232">
        <v>16.88</v>
      </c>
      <c r="Q18" s="232">
        <v>16.47</v>
      </c>
    </row>
    <row r="19" spans="1:17">
      <c r="A19" t="s">
        <v>206</v>
      </c>
      <c r="I19">
        <v>22.54</v>
      </c>
      <c r="J19">
        <v>18.5</v>
      </c>
      <c r="K19" s="232">
        <v>20.85</v>
      </c>
      <c r="L19" s="232">
        <v>19.510000000000002</v>
      </c>
      <c r="M19" s="232">
        <v>14.98</v>
      </c>
      <c r="N19" s="232">
        <v>14.88</v>
      </c>
      <c r="O19" s="232">
        <v>14.24</v>
      </c>
      <c r="P19" s="232">
        <v>13.92</v>
      </c>
      <c r="Q19" s="232">
        <v>13.8</v>
      </c>
    </row>
    <row r="20" spans="1:17">
      <c r="A20" t="s">
        <v>207</v>
      </c>
      <c r="I20">
        <v>22.07</v>
      </c>
      <c r="J20">
        <v>18.350000000000001</v>
      </c>
      <c r="K20" s="232">
        <v>20.67</v>
      </c>
      <c r="L20" s="232">
        <v>18.61</v>
      </c>
      <c r="M20" s="232">
        <v>15</v>
      </c>
      <c r="N20" s="232">
        <v>14.9</v>
      </c>
      <c r="O20" s="232">
        <v>14.27</v>
      </c>
      <c r="P20" s="232">
        <v>13.95</v>
      </c>
      <c r="Q20" s="232">
        <v>13.93</v>
      </c>
    </row>
    <row r="21" spans="1:17">
      <c r="A21" t="s">
        <v>203</v>
      </c>
      <c r="I21">
        <v>21.47</v>
      </c>
      <c r="J21">
        <v>17.3</v>
      </c>
      <c r="K21" s="232">
        <v>19.54</v>
      </c>
      <c r="L21" s="232">
        <v>17.62</v>
      </c>
      <c r="M21" s="232">
        <v>13.94</v>
      </c>
      <c r="N21" s="232">
        <v>13.84</v>
      </c>
      <c r="O21" s="232">
        <v>13.18</v>
      </c>
      <c r="P21" s="232">
        <v>12.86</v>
      </c>
      <c r="Q21" s="232">
        <v>12.65</v>
      </c>
    </row>
    <row r="24" spans="1:17" ht="15.75" thickBot="1">
      <c r="A24" s="535" t="s">
        <v>397</v>
      </c>
      <c r="B24" s="535"/>
      <c r="C24" s="90" t="s">
        <v>400</v>
      </c>
      <c r="D24" s="90"/>
      <c r="E24" s="89"/>
      <c r="F24" s="89"/>
      <c r="G24" s="89">
        <v>2028</v>
      </c>
      <c r="H24" s="89">
        <v>2027</v>
      </c>
      <c r="I24" s="89">
        <v>2026</v>
      </c>
      <c r="J24" s="89">
        <v>2025</v>
      </c>
      <c r="K24" s="89">
        <v>2024</v>
      </c>
      <c r="L24" s="89">
        <v>2023</v>
      </c>
      <c r="M24" s="89">
        <v>2022</v>
      </c>
      <c r="N24" s="89">
        <v>2021</v>
      </c>
      <c r="O24" s="89">
        <v>2020</v>
      </c>
      <c r="P24" s="89">
        <v>2019</v>
      </c>
      <c r="Q24" s="89">
        <v>2018</v>
      </c>
    </row>
    <row r="26" spans="1:17">
      <c r="A26" t="s">
        <v>215</v>
      </c>
      <c r="I26">
        <v>29.5</v>
      </c>
      <c r="J26">
        <v>24.29</v>
      </c>
      <c r="K26" s="232">
        <v>30.03</v>
      </c>
      <c r="L26" s="232">
        <v>29.36</v>
      </c>
      <c r="M26" s="232">
        <v>20.86</v>
      </c>
      <c r="N26" s="407">
        <f>AVERAGE(P26,M26)</f>
        <v>20.524999999999999</v>
      </c>
      <c r="O26" s="407">
        <v>20.524999999999999</v>
      </c>
      <c r="P26" s="232">
        <v>20.190000000000001</v>
      </c>
      <c r="Q26" s="232">
        <v>23.06</v>
      </c>
    </row>
    <row r="27" spans="1:17">
      <c r="A27" t="s">
        <v>216</v>
      </c>
      <c r="I27">
        <v>27.46</v>
      </c>
      <c r="J27">
        <v>22.88</v>
      </c>
      <c r="K27" s="232">
        <v>29.9</v>
      </c>
      <c r="L27" s="232">
        <v>29.23</v>
      </c>
      <c r="M27" s="232">
        <v>20.73</v>
      </c>
      <c r="N27" s="407">
        <f t="shared" ref="N27:N40" si="0">AVERAGE(P27,M27)</f>
        <v>20.37</v>
      </c>
      <c r="O27" s="407">
        <v>20.37</v>
      </c>
      <c r="P27" s="232">
        <v>20.010000000000002</v>
      </c>
      <c r="Q27" s="232">
        <v>22.74</v>
      </c>
    </row>
    <row r="28" spans="1:17">
      <c r="A28" t="s">
        <v>217</v>
      </c>
      <c r="I28">
        <v>25.14</v>
      </c>
      <c r="J28">
        <v>22.13</v>
      </c>
      <c r="K28" s="232">
        <v>28.68</v>
      </c>
      <c r="L28" s="232">
        <v>27.96</v>
      </c>
      <c r="M28" s="232">
        <v>19.47</v>
      </c>
      <c r="N28" s="407">
        <f t="shared" si="0"/>
        <v>18.850000000000001</v>
      </c>
      <c r="O28" s="407">
        <v>18.850000000000001</v>
      </c>
      <c r="P28" s="232">
        <v>18.23</v>
      </c>
      <c r="Q28" s="232">
        <v>19.78</v>
      </c>
    </row>
    <row r="29" spans="1:17">
      <c r="A29" t="s">
        <v>218</v>
      </c>
      <c r="I29">
        <v>26.2</v>
      </c>
      <c r="J29">
        <v>22.13</v>
      </c>
      <c r="K29" s="232">
        <v>29.83</v>
      </c>
      <c r="L29" s="232">
        <v>29.15</v>
      </c>
      <c r="M29" s="232">
        <v>20.65</v>
      </c>
      <c r="N29" s="407">
        <f t="shared" si="0"/>
        <v>20.41</v>
      </c>
      <c r="O29" s="407">
        <v>20.41</v>
      </c>
      <c r="P29" s="232">
        <v>20.170000000000002</v>
      </c>
      <c r="Q29" s="232">
        <v>22.57</v>
      </c>
    </row>
    <row r="30" spans="1:17">
      <c r="A30" t="s">
        <v>219</v>
      </c>
      <c r="I30">
        <v>24.58</v>
      </c>
      <c r="J30">
        <v>21.27</v>
      </c>
      <c r="K30" s="232">
        <v>28</v>
      </c>
      <c r="L30" s="232">
        <v>27.29</v>
      </c>
      <c r="M30" s="232">
        <v>18.79</v>
      </c>
      <c r="N30" s="407">
        <f t="shared" si="0"/>
        <v>18.13</v>
      </c>
      <c r="O30" s="407">
        <v>18.13</v>
      </c>
      <c r="P30" s="232">
        <v>17.47</v>
      </c>
      <c r="Q30" s="232">
        <v>18.93</v>
      </c>
    </row>
    <row r="31" spans="1:17">
      <c r="A31" t="s">
        <v>201</v>
      </c>
      <c r="I31">
        <v>21.74</v>
      </c>
      <c r="J31">
        <v>20.95</v>
      </c>
      <c r="K31" s="232">
        <v>26</v>
      </c>
      <c r="L31" s="232">
        <v>25.26</v>
      </c>
      <c r="M31" s="232">
        <v>16.760000000000002</v>
      </c>
      <c r="N31" s="407">
        <f t="shared" si="0"/>
        <v>15.785</v>
      </c>
      <c r="O31" s="407">
        <v>15.785</v>
      </c>
      <c r="P31" s="232">
        <v>14.81</v>
      </c>
      <c r="Q31" s="232">
        <v>15</v>
      </c>
    </row>
    <row r="32" spans="1:17">
      <c r="A32" t="s">
        <v>202</v>
      </c>
      <c r="I32">
        <v>24.34</v>
      </c>
      <c r="J32">
        <v>20.68</v>
      </c>
      <c r="K32" s="232">
        <v>28.07</v>
      </c>
      <c r="L32" s="232">
        <v>27.37</v>
      </c>
      <c r="M32" s="232">
        <v>18.87</v>
      </c>
      <c r="N32" s="407">
        <f t="shared" si="0"/>
        <v>18.170000000000002</v>
      </c>
      <c r="O32" s="407">
        <v>18.170000000000002</v>
      </c>
      <c r="P32" s="232">
        <v>17.47</v>
      </c>
      <c r="Q32" s="232">
        <v>17.96</v>
      </c>
    </row>
    <row r="33" spans="1:25">
      <c r="A33" t="s">
        <v>220</v>
      </c>
      <c r="I33">
        <v>25.33</v>
      </c>
      <c r="J33">
        <v>21.51</v>
      </c>
      <c r="K33" s="232">
        <v>29.83</v>
      </c>
      <c r="L33" s="232">
        <v>29.15</v>
      </c>
      <c r="M33" s="232">
        <v>20.65</v>
      </c>
      <c r="N33" s="407">
        <f t="shared" si="0"/>
        <v>20.274999999999999</v>
      </c>
      <c r="O33" s="407">
        <v>20.274999999999999</v>
      </c>
      <c r="P33" s="232">
        <v>19.899999999999999</v>
      </c>
      <c r="Q33" s="232">
        <v>22.57</v>
      </c>
    </row>
    <row r="34" spans="1:25">
      <c r="A34" t="s">
        <v>221</v>
      </c>
      <c r="I34">
        <v>25.4</v>
      </c>
      <c r="J34">
        <v>21.6</v>
      </c>
      <c r="K34" s="232">
        <v>30.18</v>
      </c>
      <c r="L34" s="232">
        <v>29.51</v>
      </c>
      <c r="M34" s="232">
        <v>21.01</v>
      </c>
      <c r="N34" s="407">
        <f t="shared" si="0"/>
        <v>20.715000000000003</v>
      </c>
      <c r="O34" s="407">
        <v>20.715000000000003</v>
      </c>
      <c r="P34" s="232">
        <v>20.420000000000002</v>
      </c>
      <c r="Q34" s="232">
        <v>23.44</v>
      </c>
    </row>
    <row r="35" spans="1:25">
      <c r="A35" t="s">
        <v>222</v>
      </c>
      <c r="I35">
        <v>23.94</v>
      </c>
      <c r="J35">
        <v>20.39</v>
      </c>
      <c r="K35" s="232">
        <v>30.1</v>
      </c>
      <c r="L35" s="232">
        <v>29.44</v>
      </c>
      <c r="M35" s="232">
        <v>20.94</v>
      </c>
      <c r="N35" s="407">
        <f t="shared" si="0"/>
        <v>20.875</v>
      </c>
      <c r="O35" s="407">
        <v>20.875</v>
      </c>
      <c r="P35" s="232">
        <v>20.81</v>
      </c>
      <c r="Q35" s="232">
        <v>20.260000000000002</v>
      </c>
    </row>
    <row r="36" spans="1:25">
      <c r="A36" t="s">
        <v>204</v>
      </c>
      <c r="I36">
        <v>21.46</v>
      </c>
      <c r="J36">
        <v>21.77</v>
      </c>
      <c r="K36" s="232">
        <v>28.33</v>
      </c>
      <c r="L36" s="232">
        <v>27.7</v>
      </c>
      <c r="M36" s="232">
        <v>18.61</v>
      </c>
      <c r="N36" s="407">
        <f t="shared" si="0"/>
        <v>17.465</v>
      </c>
      <c r="O36" s="407">
        <v>17.465</v>
      </c>
      <c r="P36" s="232">
        <v>16.32</v>
      </c>
      <c r="Q36" s="232">
        <v>17.079999999999998</v>
      </c>
    </row>
    <row r="37" spans="1:25">
      <c r="A37" t="s">
        <v>205</v>
      </c>
      <c r="I37">
        <v>20.46</v>
      </c>
      <c r="J37">
        <v>21.14</v>
      </c>
      <c r="K37" s="232">
        <v>27.13</v>
      </c>
      <c r="L37" s="232">
        <v>26.51</v>
      </c>
      <c r="M37" s="232">
        <v>17.55</v>
      </c>
      <c r="N37" s="407">
        <f t="shared" si="0"/>
        <v>16.25</v>
      </c>
      <c r="O37" s="407">
        <v>16.25</v>
      </c>
      <c r="P37" s="232">
        <v>14.95</v>
      </c>
      <c r="Q37" s="232">
        <v>15.38</v>
      </c>
    </row>
    <row r="38" spans="1:25">
      <c r="A38" t="s">
        <v>206</v>
      </c>
      <c r="I38">
        <v>16.760000000000002</v>
      </c>
      <c r="J38">
        <v>19.22</v>
      </c>
      <c r="K38" s="232">
        <v>25.24</v>
      </c>
      <c r="L38" s="232">
        <v>24.26</v>
      </c>
      <c r="M38" s="232">
        <v>15.08</v>
      </c>
      <c r="N38" s="407">
        <f t="shared" si="0"/>
        <v>14.125</v>
      </c>
      <c r="O38" s="407">
        <v>14.125</v>
      </c>
      <c r="P38" s="232">
        <v>13.17</v>
      </c>
      <c r="Q38" s="232">
        <v>13.73</v>
      </c>
    </row>
    <row r="39" spans="1:25">
      <c r="A39" t="s">
        <v>207</v>
      </c>
      <c r="I39">
        <v>16.600000000000001</v>
      </c>
      <c r="J39">
        <v>18.53</v>
      </c>
      <c r="K39" s="232">
        <v>25.03</v>
      </c>
      <c r="L39" s="232">
        <v>24.14</v>
      </c>
      <c r="M39" s="232">
        <v>14.87</v>
      </c>
      <c r="N39" s="407">
        <f t="shared" si="0"/>
        <v>13.969999999999999</v>
      </c>
      <c r="O39" s="407">
        <v>13.969999999999999</v>
      </c>
      <c r="P39" s="232">
        <v>13.07</v>
      </c>
      <c r="Q39" s="232">
        <v>13.96</v>
      </c>
    </row>
    <row r="40" spans="1:25">
      <c r="A40" t="s">
        <v>203</v>
      </c>
      <c r="I40">
        <v>15.61</v>
      </c>
      <c r="J40">
        <v>17.84</v>
      </c>
      <c r="K40" s="232">
        <v>23.89</v>
      </c>
      <c r="L40" s="232">
        <v>23.08</v>
      </c>
      <c r="M40" s="232">
        <v>14.01</v>
      </c>
      <c r="N40" s="407">
        <f t="shared" si="0"/>
        <v>13.074999999999999</v>
      </c>
      <c r="O40" s="407">
        <v>13.074999999999999</v>
      </c>
      <c r="P40" s="232">
        <v>12.14</v>
      </c>
      <c r="Q40" s="232">
        <v>12.6</v>
      </c>
    </row>
    <row r="43" spans="1:25" ht="15.75" thickBot="1">
      <c r="A43" s="535" t="s">
        <v>398</v>
      </c>
      <c r="B43" s="535"/>
      <c r="C43" s="90" t="s">
        <v>765</v>
      </c>
      <c r="D43" s="90"/>
      <c r="E43" s="89"/>
      <c r="F43" s="89"/>
      <c r="G43" s="89">
        <v>2028</v>
      </c>
      <c r="H43" s="89">
        <v>2027</v>
      </c>
      <c r="I43" s="89">
        <v>2026</v>
      </c>
      <c r="J43" s="89">
        <v>2025</v>
      </c>
      <c r="K43" s="89">
        <v>2024</v>
      </c>
      <c r="L43" s="89">
        <v>2023</v>
      </c>
      <c r="M43" s="89">
        <v>2022</v>
      </c>
      <c r="N43" s="89">
        <v>2021</v>
      </c>
      <c r="O43" s="89">
        <v>2020</v>
      </c>
      <c r="P43" s="89">
        <v>2019</v>
      </c>
      <c r="Q43" s="89">
        <v>2018</v>
      </c>
    </row>
    <row r="45" spans="1:25">
      <c r="A45" t="s">
        <v>396</v>
      </c>
      <c r="I45" s="234">
        <v>1021</v>
      </c>
      <c r="J45" s="234">
        <v>1021</v>
      </c>
      <c r="K45" s="233">
        <v>1024</v>
      </c>
      <c r="L45" s="233">
        <v>1021</v>
      </c>
      <c r="M45" s="233">
        <v>1184</v>
      </c>
      <c r="N45" s="233">
        <v>385486312</v>
      </c>
      <c r="O45" s="233">
        <v>384376113</v>
      </c>
      <c r="P45" s="233">
        <v>406275199</v>
      </c>
      <c r="Q45" s="233">
        <v>415936175.31201798</v>
      </c>
      <c r="S45" s="536" t="s">
        <v>797</v>
      </c>
      <c r="T45" s="536"/>
      <c r="U45" s="536"/>
      <c r="V45" s="536"/>
      <c r="W45" s="536"/>
      <c r="X45" s="536"/>
      <c r="Y45" s="536"/>
    </row>
    <row r="46" spans="1:25">
      <c r="A46" t="s">
        <v>397</v>
      </c>
      <c r="I46" s="234">
        <v>116</v>
      </c>
      <c r="J46" s="234">
        <v>116</v>
      </c>
      <c r="K46" s="233">
        <v>119</v>
      </c>
      <c r="L46" s="233">
        <v>116</v>
      </c>
      <c r="M46" s="233">
        <v>123</v>
      </c>
      <c r="N46" s="353">
        <v>34013406</v>
      </c>
      <c r="O46" s="233">
        <v>33577519</v>
      </c>
      <c r="P46" s="233">
        <v>33909993</v>
      </c>
      <c r="Q46" s="233">
        <v>33891501</v>
      </c>
    </row>
    <row r="49" spans="1:17" ht="15.75" thickBot="1">
      <c r="A49" s="535" t="s">
        <v>399</v>
      </c>
      <c r="B49" s="535"/>
      <c r="C49" s="90" t="s">
        <v>400</v>
      </c>
      <c r="D49" s="90"/>
      <c r="E49" s="89"/>
      <c r="F49" s="89"/>
      <c r="G49" s="89">
        <v>2028</v>
      </c>
      <c r="H49" s="89">
        <v>2027</v>
      </c>
      <c r="I49" s="89">
        <v>2026</v>
      </c>
      <c r="J49" s="89">
        <v>2025</v>
      </c>
      <c r="K49" s="89">
        <v>2024</v>
      </c>
      <c r="L49" s="89">
        <v>2023</v>
      </c>
      <c r="M49" s="89">
        <v>2022</v>
      </c>
      <c r="N49" s="89">
        <v>2021</v>
      </c>
      <c r="O49" s="89">
        <v>2020</v>
      </c>
      <c r="P49" s="89">
        <v>2019</v>
      </c>
      <c r="Q49" s="89">
        <v>2018</v>
      </c>
    </row>
    <row r="51" spans="1:17">
      <c r="A51" t="s">
        <v>215</v>
      </c>
      <c r="I51" s="232">
        <f t="shared" ref="I51:J51" si="1">I7*I$45/(I$45+I$46)+I26*I$46/(I$45+I$46)</f>
        <v>30.873905013192612</v>
      </c>
      <c r="J51" s="232">
        <f t="shared" si="1"/>
        <v>27.828029903254176</v>
      </c>
      <c r="K51" s="232">
        <f t="shared" ref="K51:L51" si="2">K7*K$45/(K$45+K$46)+K26*K$46/(K$45+K$46)</f>
        <v>29.716439195100612</v>
      </c>
      <c r="L51" s="232">
        <f t="shared" si="2"/>
        <v>26.666068601583113</v>
      </c>
      <c r="M51" s="232">
        <f t="shared" ref="M51:N51" si="3">M7*M$45/(M$45+M$46)+M26*M$46/(M$45+M$46)</f>
        <v>21.222356541698549</v>
      </c>
      <c r="N51" s="232">
        <f t="shared" si="3"/>
        <v>21.108513641646834</v>
      </c>
      <c r="O51" s="232">
        <f t="shared" ref="O51:P51" si="4">O7*O$45/(O$45+O$46)+O26*O$46/(O$45+O$46)</f>
        <v>20.842283422925252</v>
      </c>
      <c r="P51" s="232">
        <f t="shared" si="4"/>
        <v>20.522267132784421</v>
      </c>
      <c r="Q51" s="232">
        <f>Q7*Q$45/(Q$45+Q$46)+Q26*Q$46/(Q$45+Q$46)</f>
        <v>24.520957587983411</v>
      </c>
    </row>
    <row r="52" spans="1:17" ht="8.25" customHeight="1">
      <c r="I52" s="232"/>
      <c r="J52" s="232"/>
      <c r="K52" s="232"/>
      <c r="L52" s="232"/>
      <c r="M52" s="232"/>
      <c r="N52" s="232"/>
      <c r="O52" s="232"/>
      <c r="P52" s="232"/>
      <c r="Q52" s="232"/>
    </row>
    <row r="53" spans="1:17" ht="16.5" customHeight="1">
      <c r="A53" t="s">
        <v>216</v>
      </c>
      <c r="I53" s="232">
        <f t="shared" ref="I53:J53" si="5">I8*I$45/(I$45+I$46)+I27*I$46/(I$45+I$46)</f>
        <v>28.690228671943711</v>
      </c>
      <c r="J53" s="232">
        <f t="shared" si="5"/>
        <v>27.459683377308707</v>
      </c>
      <c r="K53" s="232">
        <f t="shared" ref="K53:L53" si="6">K8*K$45/(K$45+K$46)+K27*K$46/(K$45+K$46)</f>
        <v>29.469973753280843</v>
      </c>
      <c r="L53" s="232">
        <f t="shared" si="6"/>
        <v>26.428311345646435</v>
      </c>
      <c r="M53" s="232">
        <f t="shared" ref="M53:N53" si="7">M8*M$45/(M$45+M$46)+M27*M$46/(M$45+M$46)</f>
        <v>20.983649579188985</v>
      </c>
      <c r="N53" s="232">
        <f t="shared" si="7"/>
        <v>20.866216325179984</v>
      </c>
      <c r="O53" s="232">
        <f>O8*O$45/(O$45+O$46)+O27*O$46/(O$45+O$46)</f>
        <v>20.59071890290452</v>
      </c>
      <c r="P53" s="232">
        <f>P8*P$45/(P$45+P$46)+P27*P$46/(P$45+P$46)</f>
        <v>20.268429992165661</v>
      </c>
      <c r="Q53" s="232">
        <f>Q8*Q$45/(Q$45+Q$46)+Q27*Q$46/(Q$45+Q$46)</f>
        <v>22.555068659748933</v>
      </c>
    </row>
    <row r="54" spans="1:17" ht="8.25" customHeight="1">
      <c r="I54" s="232"/>
      <c r="J54" s="232"/>
      <c r="K54" s="232"/>
      <c r="L54" s="232"/>
      <c r="M54" s="232"/>
      <c r="N54" s="232"/>
      <c r="O54" s="232"/>
      <c r="P54" s="232"/>
      <c r="Q54" s="232"/>
    </row>
    <row r="55" spans="1:17">
      <c r="A55" t="s">
        <v>217</v>
      </c>
      <c r="I55" s="232">
        <f t="shared" ref="I55:J55" si="8">I9*I$45/(I$45+I$46)+I28*I$46/(I$45+I$46)</f>
        <v>26.091855760773967</v>
      </c>
      <c r="J55" s="232">
        <f t="shared" si="8"/>
        <v>25.443535620052771</v>
      </c>
      <c r="K55" s="232">
        <f t="shared" ref="K55:L55" si="9">K9*K$45/(K$45+K$46)+K28*K$46/(K$45+K$46)</f>
        <v>27.282414698162732</v>
      </c>
      <c r="L55" s="232">
        <f t="shared" si="9"/>
        <v>24.368091468777486</v>
      </c>
      <c r="M55" s="232">
        <f t="shared" ref="M55:N55" si="10">M9*M$45/(M$45+M$46)+M28*M$46/(M$45+M$46)</f>
        <v>18.917406273909716</v>
      </c>
      <c r="N55" s="232">
        <f t="shared" si="10"/>
        <v>18.767297279136674</v>
      </c>
      <c r="O55" s="232">
        <f>O9*O$45/(O$45+O$46)+O28*O$46/(O$45+O$46)</f>
        <v>18.353382468464829</v>
      </c>
      <c r="P55" s="232">
        <f>P9*P$45/(P$45+P$46)+P28*P$46/(P$45+P$46)</f>
        <v>18.008488578143719</v>
      </c>
      <c r="Q55" s="232">
        <f>Q9*Q$45/(Q$45+Q$46)+Q28*Q$46/(Q$45+Q$46)</f>
        <v>18.550206587330418</v>
      </c>
    </row>
    <row r="56" spans="1:17" ht="8.25" customHeight="1">
      <c r="I56" s="232"/>
      <c r="J56" s="232"/>
      <c r="K56" s="232"/>
      <c r="L56" s="232"/>
      <c r="M56" s="232"/>
      <c r="N56" s="232"/>
      <c r="O56" s="232"/>
      <c r="P56" s="232"/>
      <c r="Q56" s="232"/>
    </row>
    <row r="57" spans="1:17">
      <c r="A57" t="s">
        <v>218</v>
      </c>
      <c r="I57" s="232">
        <f t="shared" ref="I57:J57" si="11">I10*I$45/(I$45+I$46)+I29*I$46/(I$45+I$46)</f>
        <v>27.097977132805628</v>
      </c>
      <c r="J57" s="232">
        <f t="shared" si="11"/>
        <v>27.293368513632366</v>
      </c>
      <c r="K57" s="232">
        <f t="shared" ref="K57:L57" si="12">K10*K$45/(K$45+K$46)+K29*K$46/(K$45+K$46)</f>
        <v>29.364138232720912</v>
      </c>
      <c r="L57" s="232">
        <f t="shared" si="12"/>
        <v>26.321372031662271</v>
      </c>
      <c r="M57" s="232">
        <f t="shared" ref="M57:N57" si="13">M10*M$45/(M$45+M$46)+M29*M$46/(M$45+M$46)</f>
        <v>20.87647283856159</v>
      </c>
      <c r="N57" s="232">
        <f t="shared" si="13"/>
        <v>20.768378457074434</v>
      </c>
      <c r="O57" s="232">
        <f>O10*O$45/(O$45+O$46)+O29*O$46/(O$45+O$46)</f>
        <v>20.483572967634839</v>
      </c>
      <c r="P57" s="232">
        <f>P10*P$45/(P$45+P$46)+P29*P$46/(P$45+P$46)</f>
        <v>20.170000000000002</v>
      </c>
      <c r="Q57" s="232">
        <f>Q10*Q$45/(Q$45+Q$46)+Q29*Q$46/(Q$45+Q$46)</f>
        <v>21.127535546041695</v>
      </c>
    </row>
    <row r="58" spans="1:17" ht="8.25" customHeight="1">
      <c r="I58" s="232"/>
      <c r="J58" s="232"/>
      <c r="K58" s="232"/>
      <c r="L58" s="232"/>
      <c r="M58" s="232"/>
      <c r="N58" s="232"/>
      <c r="O58" s="232"/>
      <c r="P58" s="232"/>
      <c r="Q58" s="232"/>
    </row>
    <row r="59" spans="1:17">
      <c r="A59" t="s">
        <v>219</v>
      </c>
      <c r="I59" s="232">
        <f t="shared" ref="I59" si="14">I11*I$45/(I$45+I$46)+I30*I$46/(I$45+I$46)</f>
        <v>25.03796833773087</v>
      </c>
      <c r="J59" s="232">
        <f t="shared" ref="J59:K59" si="15">J11*J$45/(J$45+J$46)+J30*J$46/(J$45+J$46)</f>
        <v>25.544371152154795</v>
      </c>
      <c r="K59" s="232">
        <f t="shared" si="15"/>
        <v>27.399755030621172</v>
      </c>
      <c r="L59" s="232">
        <f t="shared" ref="L59:Q59" si="16">L11*L$45/(L$45+L$46)+L30*L$46/(L$45+L$46)</f>
        <v>24.47933157431838</v>
      </c>
      <c r="M59" s="232">
        <f t="shared" si="16"/>
        <v>19.034590665646515</v>
      </c>
      <c r="N59" s="232">
        <f t="shared" si="16"/>
        <v>18.892702870184053</v>
      </c>
      <c r="O59" s="232">
        <f t="shared" si="16"/>
        <v>18.497864838174202</v>
      </c>
      <c r="P59" s="232">
        <f t="shared" si="16"/>
        <v>18.152993550723533</v>
      </c>
      <c r="Q59" s="232">
        <f t="shared" si="16"/>
        <v>18.070069267832547</v>
      </c>
    </row>
    <row r="60" spans="1:17" ht="8.25" customHeight="1">
      <c r="I60" s="232"/>
      <c r="J60" s="232"/>
      <c r="K60" s="232"/>
      <c r="L60" s="232"/>
      <c r="M60" s="232"/>
      <c r="N60" s="232"/>
      <c r="O60" s="232"/>
      <c r="P60" s="232"/>
      <c r="Q60" s="232"/>
    </row>
    <row r="61" spans="1:17">
      <c r="A61" t="s">
        <v>201</v>
      </c>
      <c r="I61" s="232">
        <f t="shared" ref="I61:J61" si="17">I12*I$45/(I$45+I$46)+I31*I$46/(I$45+I$46)</f>
        <v>24.236376429199648</v>
      </c>
      <c r="J61" s="232">
        <f t="shared" si="17"/>
        <v>23.688830255057169</v>
      </c>
      <c r="K61" s="232">
        <f t="shared" ref="K61:L61" si="18">K12*K$45/(K$45+K$46)+K31*K$46/(K$45+K$46)</f>
        <v>25.256412948381453</v>
      </c>
      <c r="L61" s="232">
        <f t="shared" si="18"/>
        <v>22.449331574318382</v>
      </c>
      <c r="M61" s="232">
        <f t="shared" ref="M61:N61" si="19">M12*M$45/(M$45+M$46)+M31*M$46/(M$45+M$46)</f>
        <v>17.004590665646518</v>
      </c>
      <c r="N61" s="232">
        <f t="shared" si="19"/>
        <v>16.837162393205709</v>
      </c>
      <c r="O61" s="232">
        <f>O12*O$45/(O$45+O$46)+O31*O$46/(O$45+O$46)</f>
        <v>16.313805704875413</v>
      </c>
      <c r="P61" s="232">
        <f>P12*P$45/(P$45+P$46)+P31*P$46/(P$45+P$46)</f>
        <v>15.94524603701344</v>
      </c>
      <c r="Q61" s="232">
        <f>Q12*Q$45/(Q$45+Q$46)+Q31*Q$46/(Q$45+Q$46)</f>
        <v>14.731849556635956</v>
      </c>
    </row>
    <row r="62" spans="1:17" ht="8.25" customHeight="1">
      <c r="I62" s="232"/>
      <c r="J62" s="232"/>
      <c r="K62" s="232"/>
      <c r="L62" s="232"/>
      <c r="M62" s="232"/>
      <c r="N62" s="232"/>
      <c r="O62" s="232"/>
      <c r="P62" s="232"/>
      <c r="Q62" s="232"/>
    </row>
    <row r="63" spans="1:17">
      <c r="A63" t="s">
        <v>202</v>
      </c>
      <c r="I63" s="232">
        <f t="shared" ref="I63:J63" si="20">I13*I$45/(I$45+I$46)+I32*I$46/(I$45+I$46)</f>
        <v>24.519595426561125</v>
      </c>
      <c r="J63" s="232">
        <f t="shared" si="20"/>
        <v>25.879287598944593</v>
      </c>
      <c r="K63" s="232">
        <f t="shared" ref="K63:L63" si="21">K13*K$45/(K$45+K$46)+K32*K$46/(K$45+K$46)</f>
        <v>27.837069116360453</v>
      </c>
      <c r="L63" s="232">
        <f t="shared" si="21"/>
        <v>24.882603342128412</v>
      </c>
      <c r="M63" s="232">
        <f t="shared" ref="M63:N63" si="22">M13*M$45/(M$45+M$46)+M32*M$46/(M$45+M$46)</f>
        <v>19.440711553175209</v>
      </c>
      <c r="N63" s="232">
        <f t="shared" si="22"/>
        <v>19.300270518465521</v>
      </c>
      <c r="O63" s="232">
        <f>O13*O$45/(O$45+O$46)+O32*O$46/(O$45+O$46)</f>
        <v>18.933319539211467</v>
      </c>
      <c r="P63" s="232">
        <f>P13*P$45/(P$45+P$46)+P32*P$46/(P$45+P$46)</f>
        <v>18.58678675185875</v>
      </c>
      <c r="Q63" s="232">
        <f>Q13*Q$45/(Q$45+Q$46)+Q32*Q$46/(Q$45+Q$46)</f>
        <v>18.098698505188299</v>
      </c>
    </row>
    <row r="64" spans="1:17" ht="8.25" customHeight="1">
      <c r="I64" s="232"/>
      <c r="J64" s="232"/>
      <c r="K64" s="232"/>
      <c r="L64" s="232"/>
      <c r="M64" s="232"/>
      <c r="N64" s="232"/>
      <c r="O64" s="232"/>
      <c r="P64" s="232"/>
      <c r="Q64" s="232"/>
    </row>
    <row r="65" spans="1:17">
      <c r="A65" t="s">
        <v>220</v>
      </c>
      <c r="I65" s="232">
        <f t="shared" ref="I65:J65" si="23">I14*I$45/(I$45+I$46)+I33*I$46/(I$45+I$46)</f>
        <v>26.317774846086191</v>
      </c>
      <c r="J65" s="232">
        <f t="shared" si="23"/>
        <v>27.230114335971855</v>
      </c>
      <c r="K65" s="232">
        <f t="shared" ref="K65:L65" si="24">K14*K$45/(K$45+K$46)+K33*K$46/(K$45+K$46)</f>
        <v>29.364138232720912</v>
      </c>
      <c r="L65" s="232">
        <f t="shared" si="24"/>
        <v>26.330351802990329</v>
      </c>
      <c r="M65" s="232">
        <f t="shared" ref="M65:N65" si="25">M14*M$45/(M$45+M$46)+M33*M$46/(M$45+M$46)</f>
        <v>20.885531752104054</v>
      </c>
      <c r="N65" s="232">
        <f t="shared" si="25"/>
        <v>20.766621729576464</v>
      </c>
      <c r="O65" s="232">
        <f>O14*O$45/(O$45+O$46)+O33*O$46/(O$45+O$46)</f>
        <v>20.481923971472987</v>
      </c>
      <c r="P65" s="232">
        <f>P14*P$45/(P$45+P$46)+P33*P$46/(P$45+P$46)</f>
        <v>20.158429992165658</v>
      </c>
      <c r="Q65" s="232">
        <f>Q14*Q$45/(Q$45+Q$46)+Q33*Q$46/(Q$45+Q$46)</f>
        <v>20.471029288150415</v>
      </c>
    </row>
    <row r="66" spans="1:17" ht="8.25" customHeight="1">
      <c r="I66" s="232"/>
      <c r="J66" s="232"/>
      <c r="K66" s="232"/>
      <c r="L66" s="232"/>
      <c r="M66" s="232"/>
      <c r="N66" s="232"/>
      <c r="O66" s="232"/>
      <c r="P66" s="232"/>
      <c r="Q66" s="232"/>
    </row>
    <row r="67" spans="1:17">
      <c r="A67" t="s">
        <v>221</v>
      </c>
      <c r="I67" s="232">
        <f t="shared" ref="I67:J67" si="26">I15*I$45/(I$45+I$46)+I34*I$46/(I$45+I$46)</f>
        <v>26.917581354441513</v>
      </c>
      <c r="J67" s="232">
        <f t="shared" si="26"/>
        <v>27.885839929639403</v>
      </c>
      <c r="K67" s="232">
        <f t="shared" ref="K67:L67" si="27">K15*K$45/(K$45+K$46)+K34*K$46/(K$45+K$46)</f>
        <v>30.099370078740158</v>
      </c>
      <c r="L67" s="232">
        <f t="shared" si="27"/>
        <v>27.022603342128406</v>
      </c>
      <c r="M67" s="232">
        <f t="shared" ref="M67:N67" si="28">M15*M$45/(M$45+M$46)+M34*M$46/(M$45+M$46)</f>
        <v>21.508240244835498</v>
      </c>
      <c r="N67" s="232">
        <f t="shared" si="28"/>
        <v>21.39959474492424</v>
      </c>
      <c r="O67" s="232">
        <f>O15*O$45/(O$45+O$46)+O34*O$46/(O$45+O$46)</f>
        <v>21.151839495331867</v>
      </c>
      <c r="P67" s="232">
        <f>P15*P$45/(P$45+P$46)+P34*P$46/(P$45+P$46)</f>
        <v>20.835333915980527</v>
      </c>
      <c r="Q67" s="232">
        <f>Q15*Q$45/(Q$45+Q$46)+Q34*Q$46/(Q$45+Q$46)</f>
        <v>21.248563618024885</v>
      </c>
    </row>
    <row r="68" spans="1:17" ht="8.25" customHeight="1">
      <c r="I68" s="232"/>
      <c r="J68" s="232"/>
      <c r="K68" s="232"/>
      <c r="L68" s="232"/>
      <c r="M68" s="232"/>
      <c r="N68" s="232"/>
      <c r="O68" s="232"/>
      <c r="P68" s="232"/>
      <c r="Q68" s="232"/>
    </row>
    <row r="69" spans="1:17">
      <c r="A69" t="s">
        <v>222</v>
      </c>
      <c r="I69" s="232">
        <f t="shared" ref="I69:J69" si="29">I16*I$45/(I$45+I$46)+I35*I$46/(I$45+I$46)</f>
        <v>25.933509234828495</v>
      </c>
      <c r="J69" s="232">
        <f t="shared" si="29"/>
        <v>27.636675461741426</v>
      </c>
      <c r="K69" s="232">
        <f t="shared" ref="K69:L69" si="30">K16*K$45/(K$45+K$46)+K35*K$46/(K$45+K$46)</f>
        <v>29.956657917760282</v>
      </c>
      <c r="L69" s="232">
        <f t="shared" si="30"/>
        <v>26.889744942832017</v>
      </c>
      <c r="M69" s="232">
        <f t="shared" ref="M69:N69" si="31">M16*M$45/(M$45+M$46)+M35*M$46/(M$45+M$46)</f>
        <v>21.447299158377966</v>
      </c>
      <c r="N69" s="232">
        <f t="shared" si="31"/>
        <v>21.35743253836943</v>
      </c>
      <c r="O69" s="232">
        <f>O16*O$45/(O$45+O$46)+O35*O$46/(O$45+O$46)</f>
        <v>21.109513834336052</v>
      </c>
      <c r="P69" s="232">
        <f>P16*P$45/(P$45+P$46)+P35*P$46/(P$45+P$46)</f>
        <v>20.81</v>
      </c>
      <c r="Q69" s="232">
        <f>Q16*Q$45/(Q$45+Q$46)+Q35*Q$46/(Q$45+Q$46)</f>
        <v>20.260000000000002</v>
      </c>
    </row>
    <row r="70" spans="1:17" ht="8.25" customHeight="1">
      <c r="I70" s="232"/>
      <c r="J70" s="232"/>
      <c r="K70" s="232"/>
      <c r="L70" s="232"/>
      <c r="M70" s="232"/>
      <c r="N70" s="232"/>
      <c r="O70" s="232"/>
      <c r="P70" s="232"/>
      <c r="Q70" s="232"/>
    </row>
    <row r="71" spans="1:17">
      <c r="A71" t="s">
        <v>204</v>
      </c>
      <c r="I71" s="232">
        <f t="shared" ref="I71:J71" si="32">I17*I$45/(I$45+I$46)+I36*I$46/(I$45+I$46)</f>
        <v>24.261688654353559</v>
      </c>
      <c r="J71" s="232">
        <f t="shared" si="32"/>
        <v>24.814142480211082</v>
      </c>
      <c r="K71" s="232">
        <f t="shared" ref="K71:L71" si="33">K17*K$45/(K$45+K$46)+K36*K$46/(K$45+K$46)</f>
        <v>27.120551181102364</v>
      </c>
      <c r="L71" s="232">
        <f t="shared" si="33"/>
        <v>24.179929639401934</v>
      </c>
      <c r="M71" s="232">
        <f t="shared" ref="M71:N71" si="34">M17*M$45/(M$45+M$46)+M36*M$46/(M$45+M$46)</f>
        <v>19.008592195868403</v>
      </c>
      <c r="N71" s="232">
        <f t="shared" si="34"/>
        <v>18.829594894244956</v>
      </c>
      <c r="O71" s="232">
        <f>O17*O$45/(O$45+O$46)+O36*O$46/(O$45+O$46)</f>
        <v>18.416850268775747</v>
      </c>
      <c r="P71" s="232">
        <f>P17*P$45/(P$45+P$46)+P36*P$46/(P$45+P$46)</f>
        <v>17.944417093612724</v>
      </c>
      <c r="Q71" s="232">
        <f>Q17*Q$45/(Q$45+Q$46)+Q36*Q$46/(Q$45+Q$46)</f>
        <v>17.699519989841068</v>
      </c>
    </row>
    <row r="72" spans="1:17" ht="8.25" customHeight="1">
      <c r="I72" s="232"/>
      <c r="J72" s="232"/>
      <c r="K72" s="232"/>
      <c r="L72" s="232"/>
      <c r="M72" s="232"/>
      <c r="N72" s="232"/>
      <c r="O72" s="232"/>
      <c r="P72" s="232"/>
      <c r="Q72" s="232"/>
    </row>
    <row r="73" spans="1:17">
      <c r="A73" t="s">
        <v>205</v>
      </c>
      <c r="I73" s="232">
        <f t="shared" ref="I73:J73" si="35">I18*I$45/(I$45+I$46)+I37*I$46/(I$45+I$46)</f>
        <v>23.782515391380826</v>
      </c>
      <c r="J73" s="232">
        <f t="shared" si="35"/>
        <v>23.771072999120495</v>
      </c>
      <c r="K73" s="232">
        <f t="shared" ref="K73:L73" si="36">K18*K$45/(K$45+K$46)+K37*K$46/(K$45+K$46)</f>
        <v>25.947427821522307</v>
      </c>
      <c r="L73" s="232">
        <f t="shared" si="36"/>
        <v>23.0797273526825</v>
      </c>
      <c r="M73" s="232">
        <f t="shared" ref="M73:N73" si="37">M18*M$45/(M$45+M$46)+M37*M$46/(M$45+M$46)</f>
        <v>17.858003060443764</v>
      </c>
      <c r="N73" s="232">
        <f t="shared" si="37"/>
        <v>17.665135445883656</v>
      </c>
      <c r="O73" s="232">
        <f>O18*O$45/(O$45+O$46)+O37*O$46/(O$45+O$46)</f>
        <v>17.215645200207284</v>
      </c>
      <c r="P73" s="232">
        <f>P18*P$45/(P$45+P$46)+P37*P$46/(P$45+P$46)</f>
        <v>16.731321017427593</v>
      </c>
      <c r="Q73" s="232">
        <f>Q18*Q$45/(Q$45+Q$46)+Q37*Q$46/(Q$45+Q$46)</f>
        <v>16.387875804368303</v>
      </c>
    </row>
    <row r="74" spans="1:17" ht="8.25" customHeight="1">
      <c r="I74" s="232"/>
      <c r="J74" s="232"/>
      <c r="K74" s="232"/>
      <c r="L74" s="232"/>
      <c r="M74" s="232"/>
      <c r="N74" s="232"/>
      <c r="O74" s="232"/>
      <c r="P74" s="232"/>
      <c r="Q74" s="232"/>
    </row>
    <row r="75" spans="1:17">
      <c r="A75" t="s">
        <v>206</v>
      </c>
      <c r="I75" s="232">
        <f t="shared" ref="I75:J75" si="38">I19*I$45/(I$45+I$46)+I38*I$46/(I$45+I$46)</f>
        <v>21.950307827616534</v>
      </c>
      <c r="J75" s="232">
        <f t="shared" si="38"/>
        <v>18.573456464379948</v>
      </c>
      <c r="K75" s="232">
        <f t="shared" ref="K75:L75" si="39">K19*K$45/(K$45+K$46)+K38*K$46/(K$45+K$46)</f>
        <v>21.307051618547682</v>
      </c>
      <c r="L75" s="232">
        <f t="shared" si="39"/>
        <v>19.994608619173267</v>
      </c>
      <c r="M75" s="232">
        <f t="shared" ref="M75:N75" si="40">M19*M$45/(M$45+M$46)+M38*M$46/(M$45+M$46)</f>
        <v>14.989410864575364</v>
      </c>
      <c r="N75" s="232">
        <f t="shared" si="40"/>
        <v>14.818783936131275</v>
      </c>
      <c r="O75" s="232">
        <f t="shared" ref="O75:P75" si="41">O19*O$45/(O$45+O$46)+O38*O$46/(O$45+O$46)</f>
        <v>14.230761140975083</v>
      </c>
      <c r="P75" s="232">
        <f t="shared" si="41"/>
        <v>13.862223193300878</v>
      </c>
      <c r="Q75" s="232">
        <f>Q19*Q$45/(Q$45+Q$46)+Q38*Q$46/(Q$45+Q$46)</f>
        <v>13.794725969087873</v>
      </c>
    </row>
    <row r="76" spans="1:17" ht="8.25" customHeight="1">
      <c r="I76" s="232"/>
      <c r="J76" s="232"/>
      <c r="K76" s="232"/>
      <c r="L76" s="232"/>
      <c r="M76" s="232"/>
      <c r="N76" s="232"/>
      <c r="O76" s="232"/>
      <c r="P76" s="232"/>
      <c r="Q76" s="232"/>
    </row>
    <row r="77" spans="1:17">
      <c r="A77" t="s">
        <v>207</v>
      </c>
      <c r="I77" s="232">
        <f t="shared" ref="I77:J77" si="42">I20*I$45/(I$45+I$46)+I39*I$46/(I$45+I$46)</f>
        <v>21.511934916446794</v>
      </c>
      <c r="J77" s="232">
        <f t="shared" si="42"/>
        <v>18.368364116094988</v>
      </c>
      <c r="K77" s="232">
        <f t="shared" ref="K77:L77" si="43">K20*K$45/(K$45+K$46)+K39*K$46/(K$45+K$46)</f>
        <v>21.123928258967631</v>
      </c>
      <c r="L77" s="232">
        <f t="shared" si="43"/>
        <v>19.17418645558487</v>
      </c>
      <c r="M77" s="232">
        <f t="shared" ref="M77:N77" si="44">M20*M$45/(M$45+M$46)+M39*M$46/(M$45+M$46)</f>
        <v>14.987765876052027</v>
      </c>
      <c r="N77" s="232">
        <f t="shared" si="44"/>
        <v>14.824594782254419</v>
      </c>
      <c r="O77" s="232">
        <f>O20*O$45/(O$45+O$46)+O39*O$46/(O$45+O$46)</f>
        <v>14.245898628630652</v>
      </c>
      <c r="P77" s="232">
        <f>P20*P$45/(P$45+P$46)+P39*P$46/(P$45+P$46)</f>
        <v>13.882208546806362</v>
      </c>
      <c r="Q77" s="232">
        <f>Q20*Q$45/(Q$45+Q$46)+Q39*Q$46/(Q$45+Q$46)</f>
        <v>13.932260298962342</v>
      </c>
    </row>
    <row r="78" spans="1:17" ht="8.25" customHeight="1">
      <c r="I78" s="232"/>
      <c r="J78" s="232"/>
      <c r="K78" s="232"/>
      <c r="L78" s="232"/>
      <c r="M78" s="232"/>
      <c r="N78" s="232"/>
      <c r="O78" s="232"/>
      <c r="P78" s="232"/>
      <c r="Q78" s="232"/>
    </row>
    <row r="79" spans="1:17">
      <c r="A79" t="s">
        <v>203</v>
      </c>
      <c r="I79" s="232">
        <f t="shared" ref="I79:J79" si="45">I21*I$45/(I$45+I$46)+I40*I$46/(I$45+I$46)</f>
        <v>20.872145998240981</v>
      </c>
      <c r="J79" s="232">
        <f t="shared" si="45"/>
        <v>17.355092348284959</v>
      </c>
      <c r="K79" s="232">
        <f t="shared" ref="K79:L79" si="46">K21*K$45/(K$45+K$46)+K40*K$46/(K$45+K$46)</f>
        <v>19.992887139107609</v>
      </c>
      <c r="L79" s="232">
        <f t="shared" si="46"/>
        <v>18.177044854881267</v>
      </c>
      <c r="M79" s="232">
        <f t="shared" ref="M79:N79" si="47">M21*M$45/(M$45+M$46)+M40*M$46/(M$45+M$46)</f>
        <v>13.946587605202755</v>
      </c>
      <c r="N79" s="232">
        <f t="shared" si="47"/>
        <v>13.777973127338312</v>
      </c>
      <c r="O79" s="232">
        <f>O21*O$45/(O$45+O$46)+O40*O$46/(O$45+O$46)</f>
        <v>13.171564520020727</v>
      </c>
      <c r="P79" s="232">
        <f>P21*P$45/(P$45+P$46)+P40*P$46/(P$45+P$46)</f>
        <v>12.80453426556884</v>
      </c>
      <c r="Q79" s="232">
        <f>Q21*Q$45/(Q$45+Q$46)+Q40*Q$46/(Q$45+Q$46)</f>
        <v>12.646232835062765</v>
      </c>
    </row>
  </sheetData>
  <mergeCells count="6">
    <mergeCell ref="A49:B49"/>
    <mergeCell ref="S45:Y45"/>
    <mergeCell ref="B1:C1"/>
    <mergeCell ref="A5:B5"/>
    <mergeCell ref="A24:B24"/>
    <mergeCell ref="A43:B43"/>
  </mergeCells>
  <pageMargins left="0.7" right="0.7" top="0.78740157499999996" bottom="0.78740157499999996" header="0.3" footer="0.3"/>
  <pageSetup paperSize="0" orientation="portrait" horizontalDpi="0" verticalDpi="0" copies="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54</vt:i4>
      </vt:variant>
    </vt:vector>
  </HeadingPairs>
  <TitlesOfParts>
    <vt:vector size="69" baseType="lpstr">
      <vt:lpstr>Berechnung</vt:lpstr>
      <vt:lpstr>Grafik Resultat</vt:lpstr>
      <vt:lpstr>Quellen</vt:lpstr>
      <vt:lpstr>GWR</vt:lpstr>
      <vt:lpstr>Berechnungsgrundlagen</vt:lpstr>
      <vt:lpstr>2.1 Nutzungsgrad</vt:lpstr>
      <vt:lpstr>2.3 Energiepreise</vt:lpstr>
      <vt:lpstr>2.3 Gaspreis ewl</vt:lpstr>
      <vt:lpstr>2.3 Strompreis</vt:lpstr>
      <vt:lpstr>2.3 Preis Wärmenetze</vt:lpstr>
      <vt:lpstr>3-4 Investitionskosten</vt:lpstr>
      <vt:lpstr>5 Vorauss. Förderbeitrag</vt:lpstr>
      <vt:lpstr>6.1 Raumbedarf</vt:lpstr>
      <vt:lpstr>7.1 Kalkulationszinssatz</vt:lpstr>
      <vt:lpstr>Log-Journal</vt:lpstr>
      <vt:lpstr>Alternativen1_ref</vt:lpstr>
      <vt:lpstr>Alternativen2_ref</vt:lpstr>
      <vt:lpstr>Bauvorhaben_ref</vt:lpstr>
      <vt:lpstr>Beilagen</vt:lpstr>
      <vt:lpstr>Betriebszeit</vt:lpstr>
      <vt:lpstr>Berechnung!Druckbereich</vt:lpstr>
      <vt:lpstr>EBF</vt:lpstr>
      <vt:lpstr>Energiepreise_ref</vt:lpstr>
      <vt:lpstr>ESW</vt:lpstr>
      <vt:lpstr>Faktor</vt:lpstr>
      <vt:lpstr>Fernwärme_Invest_ref</vt:lpstr>
      <vt:lpstr>Förderbeiträge</vt:lpstr>
      <vt:lpstr>Förderbeiträge_SLU</vt:lpstr>
      <vt:lpstr>Gasheizung_Invest_ref</vt:lpstr>
      <vt:lpstr>GEAK_Klasse</vt:lpstr>
      <vt:lpstr>Gebäudekategorie_ref</vt:lpstr>
      <vt:lpstr>Heizgradtage</vt:lpstr>
      <vt:lpstr>Investition_ref</vt:lpstr>
      <vt:lpstr>Minergie</vt:lpstr>
      <vt:lpstr>MWST</vt:lpstr>
      <vt:lpstr>NEB_manuell</vt:lpstr>
      <vt:lpstr>Nutzungsgrad_max</vt:lpstr>
      <vt:lpstr>Nutzungsgrad_ref</vt:lpstr>
      <vt:lpstr>Nutzungsgrad_Tabelle</vt:lpstr>
      <vt:lpstr>Oelheizung_Invest_ref</vt:lpstr>
      <vt:lpstr>Pellets_Invest_ref</vt:lpstr>
      <vt:lpstr>Preis_Fernwärme_ref</vt:lpstr>
      <vt:lpstr>Raumbedarf_ref</vt:lpstr>
      <vt:lpstr>Schnitzel_Invest_ref</vt:lpstr>
      <vt:lpstr>See_Energie_Invest_ref</vt:lpstr>
      <vt:lpstr>Spez_Raumkosten</vt:lpstr>
      <vt:lpstr>Strompreis_ref</vt:lpstr>
      <vt:lpstr>Stromprodukt</vt:lpstr>
      <vt:lpstr>Stromverbrauch_ref</vt:lpstr>
      <vt:lpstr>System_1</vt:lpstr>
      <vt:lpstr>System_2</vt:lpstr>
      <vt:lpstr>System_4</vt:lpstr>
      <vt:lpstr>System_5</vt:lpstr>
      <vt:lpstr>System_6</vt:lpstr>
      <vt:lpstr>Ta</vt:lpstr>
      <vt:lpstr>Table4</vt:lpstr>
      <vt:lpstr>Teuerungsindex</vt:lpstr>
      <vt:lpstr>Ti</vt:lpstr>
      <vt:lpstr>Wärmeerzeugerleistung</vt:lpstr>
      <vt:lpstr>Wärmenetz_möglich</vt:lpstr>
      <vt:lpstr>Warmwasserbedarf</vt:lpstr>
      <vt:lpstr>Warmwasserbedarf_ref</vt:lpstr>
      <vt:lpstr>Wartung_Unterhalt_ref</vt:lpstr>
      <vt:lpstr>WP_Luft__a</vt:lpstr>
      <vt:lpstr>WP_Luft_Liste</vt:lpstr>
      <vt:lpstr>WPLuft_Invest_ref</vt:lpstr>
      <vt:lpstr>WPLufti_Invest_ref</vt:lpstr>
      <vt:lpstr>WPSonde_Invest_ref</vt:lpstr>
      <vt:lpstr>WPWasser_Invest_ref</vt:lpstr>
    </vt:vector>
  </TitlesOfParts>
  <Company>Kanton Zürich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Füzér Linda</dc:creator>
  <cp:lastModifiedBy>Meier Ronny</cp:lastModifiedBy>
  <cp:lastPrinted>2022-11-28T15:43:55Z</cp:lastPrinted>
  <dcterms:created xsi:type="dcterms:W3CDTF">2020-06-11T08:44:54Z</dcterms:created>
  <dcterms:modified xsi:type="dcterms:W3CDTF">2026-06-23T08:54:18Z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