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7.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8.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9.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10.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11.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drawings/drawing12.xml" ContentType="application/vnd.openxmlformats-officedocument.drawing+xml"/>
  <Override PartName="/xl/comments9.xml" ContentType="application/vnd.openxmlformats-officedocument.spreadsheetml.comments+xml"/>
  <Override PartName="/xl/threadedComments/threadedComment9.xml" ContentType="application/vnd.ms-excel.threadedcomments+xml"/>
  <Override PartName="/xl/drawings/drawing13.xml" ContentType="application/vnd.openxmlformats-officedocument.drawing+xml"/>
  <Override PartName="/xl/comments10.xml" ContentType="application/vnd.openxmlformats-officedocument.spreadsheetml.comments+xml"/>
  <Override PartName="/xl/threadedComments/threadedComment10.xml" ContentType="application/vnd.ms-excel.threadedcomments+xml"/>
  <Override PartName="/xl/drawings/drawing14.xml" ContentType="application/vnd.openxmlformats-officedocument.drawing+xml"/>
  <Override PartName="/xl/comments11.xml" ContentType="application/vnd.openxmlformats-officedocument.spreadsheetml.comments+xml"/>
  <Override PartName="/xl/threadedComments/threadedComment11.xml" ContentType="application/vnd.ms-excel.threadedcomments+xml"/>
  <Override PartName="/xl/drawings/drawing15.xml" ContentType="application/vnd.openxmlformats-officedocument.drawing+xml"/>
  <Override PartName="/xl/comments12.xml" ContentType="application/vnd.openxmlformats-officedocument.spreadsheetml.comments+xml"/>
  <Override PartName="/xl/threadedComments/threadedComment12.xml" ContentType="application/vnd.ms-excel.threadedcomments+xml"/>
  <Override PartName="/xl/drawings/drawing16.xml" ContentType="application/vnd.openxmlformats-officedocument.drawing+xml"/>
  <Override PartName="/xl/comments13.xml" ContentType="application/vnd.openxmlformats-officedocument.spreadsheetml.comments+xml"/>
  <Override PartName="/xl/threadedComments/threadedComment13.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0.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DieseArbeitsmappe" defaultThemeVersion="124226"/>
  <mc:AlternateContent xmlns:mc="http://schemas.openxmlformats.org/markup-compatibility/2006">
    <mc:Choice Requires="x15">
      <x15ac:absPath xmlns:x15ac="http://schemas.microsoft.com/office/spreadsheetml/2010/11/ac" url="https://cmigever.stadtluzern.ch/webdav/w/058E059F526A7DCD8CA60A1541451237/3ecbb1d9abbf49c2b1510ad60241e487/332/"/>
    </mc:Choice>
  </mc:AlternateContent>
  <xr:revisionPtr revIDLastSave="0" documentId="13_ncr:40000001_{AE519986-A335-48E2-867D-F5056B45304A}" xr6:coauthVersionLast="47" xr6:coauthVersionMax="47" xr10:uidLastSave="{00000000-0000-0000-0000-000000000000}"/>
  <workbookProtection workbookAlgorithmName="SHA-512" workbookHashValue="KnRQ+tOLvyHcICGVmR1omiUwY2thmxXTjtwmPh/LfpDbZkD/PkWxrytcIVz4Ocyyo7Cgoj31BYPEAMrds0AkDg==" workbookSaltValue="rOB0vPop5av9o26UrRO+rQ==" workbookSpinCount="100000" lockStructure="1"/>
  <bookViews>
    <workbookView xWindow="-120" yWindow="-120" windowWidth="29040" windowHeight="15720" tabRatio="741" activeTab="1" xr2:uid="{7AD73F4F-0D81-4C90-8B87-5D7EE4C25937}"/>
  </bookViews>
  <sheets>
    <sheet name="Kurzanleitung" sheetId="104" r:id="rId1"/>
    <sheet name="Bericht" sheetId="76" r:id="rId2"/>
    <sheet name="Datengrundlage" sheetId="82" r:id="rId3"/>
    <sheet name="TF (1)" sheetId="81" r:id="rId4"/>
    <sheet name="TF (2)" sheetId="93" r:id="rId5"/>
    <sheet name="TF (3)" sheetId="94" r:id="rId6"/>
    <sheet name="TF (4)" sheetId="95" r:id="rId7"/>
    <sheet name="TF (5)" sheetId="96" r:id="rId8"/>
    <sheet name="TF (6)" sheetId="97" r:id="rId9"/>
    <sheet name="TF (7)" sheetId="98" r:id="rId10"/>
    <sheet name="TF (8)" sheetId="99" r:id="rId11"/>
    <sheet name="TF (9)" sheetId="100" r:id="rId12"/>
    <sheet name="TF (10)" sheetId="101" r:id="rId13"/>
    <sheet name="TF (11)" sheetId="102" r:id="rId14"/>
    <sheet name="TF (12)" sheetId="103" r:id="rId15"/>
    <sheet name="Basisdaten" sheetId="91" state="hidden" r:id="rId16"/>
    <sheet name="Modulfeld Standard" sheetId="83" r:id="rId17"/>
    <sheet name="Modulfeld blendarm" sheetId="105" r:id="rId18"/>
    <sheet name="Wirtschaftlichkeit_Max" sheetId="65" state="hidden" r:id="rId19"/>
    <sheet name="Wirtschaftlichkeit_Wunsch" sheetId="84" state="hidden" r:id="rId20"/>
    <sheet name="Faktor Ausrichtung" sheetId="80" state="hidden" r:id="rId21"/>
    <sheet name="Anhang" sheetId="85" state="hidden" r:id="rId22"/>
    <sheet name="Versionshinweise" sheetId="106" state="hidden" r:id="rId23"/>
  </sheets>
  <definedNames>
    <definedName name="_AbweichungNord">Datengrundlage!$D$69</definedName>
    <definedName name="_Adresse">Bericht!$D$8</definedName>
    <definedName name="_Amortisationszeit_ges.Min">Wirtschaftlichkeit_Wunsch!$M$4</definedName>
    <definedName name="_Amortisationszeit_Max">Wirtschaftlichkeit_Max!$M$4</definedName>
    <definedName name="_Anf_Amortisation">Datengrundlage!$D$59</definedName>
    <definedName name="_Anlageleistung_ges.Min">Bericht!$K$28</definedName>
    <definedName name="_Anlageleistung_Max">Bericht!$J$28</definedName>
    <definedName name="_Anz_Nordmodule_ges.Min">Bericht!$S$28</definedName>
    <definedName name="_Anz_Nordmodule_Max">Bericht!$R$28</definedName>
    <definedName name="_Bez_Modul_Sat">Basisdaten!$D$30</definedName>
    <definedName name="_Bez_Modul_St">Basisdaten!$D$21</definedName>
    <definedName name="_Datum_IBS">Bericht!$L$8</definedName>
    <definedName name="_Degradation_pro_Jahr_Satin">Datengrundlage!$D$33</definedName>
    <definedName name="_Degradation_pro_Jahr_Standard">Datengrundlage!$D$24</definedName>
    <definedName name="_Degradation_Satin">Datengrundlage!$D$32</definedName>
    <definedName name="_Degradation_Standard">Datengrundlage!$D$23</definedName>
    <definedName name="_Dok_Titel">Basisdaten!$D$5</definedName>
    <definedName name="_EBF">Bericht!#REF!</definedName>
    <definedName name="_EF_Ansatz">Basisdaten!$D$84</definedName>
    <definedName name="_EF_Deckel_abs.">Basisdaten!#REF!</definedName>
    <definedName name="_EF_Deckel_rel.">Basisdaten!#REF!</definedName>
    <definedName name="_EF_Ges.Min">Datengrundlage!$F$79</definedName>
    <definedName name="_EF_Ges.Min_Rechenwert">Bericht!$M$43</definedName>
    <definedName name="_EF_Max">Datengrundlage!$D$79</definedName>
    <definedName name="_EF_Max_Rechenwert">Bericht!$H$43</definedName>
    <definedName name="_EF_t">Basisdaten!$D$83</definedName>
    <definedName name="_EingabePV">Bericht!$B$16:$N$27</definedName>
    <definedName name="_EIV_Ges.Min">Datengrundlage!$F$77</definedName>
    <definedName name="_EIV_Ges.Min_Rechenwert">Bericht!$M$39</definedName>
    <definedName name="_EIV_Max">Datengrundlage!$D$77</definedName>
    <definedName name="_EIV_Max_Rechenwert">Bericht!$H$39</definedName>
    <definedName name="_EIV_t">Basisdaten!$D$73</definedName>
    <definedName name="_ENG_Basisdaten">Basisdaten!$D$62</definedName>
    <definedName name="_ENG_Rechenwert">Datengrundlage!$D$61</definedName>
    <definedName name="_Ertrag_Ges.Min">Bericht!$N$28</definedName>
    <definedName name="_Ertrag_max">Bericht!$M$28</definedName>
    <definedName name="_Faktor_Ausrichtung">'Faktor Ausrichtung'!$B$5:$AL$23</definedName>
    <definedName name="_xlnm._FilterDatabase" localSheetId="20" hidden="1">'Faktor Ausrichtung'!$A$4:$H$14</definedName>
    <definedName name="_Formularversion">Basisdaten!$D$3</definedName>
    <definedName name="_Gesamtkosten_Ges.Min">Bericht!$M$35</definedName>
    <definedName name="_Gesamtkosten_tech.Vollb">Bericht!$H$35</definedName>
    <definedName name="_Investitionskosten">Bericht!$H$44</definedName>
    <definedName name="_Ist_MWSt">Bericht!$R$9</definedName>
    <definedName name="_Kap_Verzinsung">Datengrundlage!$D$60</definedName>
    <definedName name="_Lebensdauer">Basisdaten!$D$59</definedName>
    <definedName name="_Letzte_REV">Basisdaten!$D$7</definedName>
    <definedName name="_Modul_Randabstand">Datengrundlage!$D$39</definedName>
    <definedName name="_Modul_Spaltenabstand">Datengrundlage!$D$41</definedName>
    <definedName name="_Modul_Zeilenabstand">Datengrundlage!$D$40</definedName>
    <definedName name="_Modulbreite_Satin">Datengrundlage!$D$35</definedName>
    <definedName name="_Modulbreite_Standard">Datengrundlage!$D$26</definedName>
    <definedName name="_Modullänge_Satin">Datengrundlage!$D$34</definedName>
    <definedName name="_Modullänge_Standard">Datengrundlage!$D$25</definedName>
    <definedName name="_Modulleistung_Satin">Datengrundlage!$D$31</definedName>
    <definedName name="_Modulleistung_Standard">Datengrundlage!$D$22</definedName>
    <definedName name="_MWSt_Faktor">Bericht!$R$10</definedName>
    <definedName name="_MWSt_Satz">Basisdaten!$D$64</definedName>
    <definedName name="_Nächste_REV">Basisdaten!$D$8</definedName>
    <definedName name="_Neigungswinkel_für_NB_Bund">Basisdaten!$E$79</definedName>
    <definedName name="_Neigungswinkelbonus_Bund">Basisdaten!$D$79</definedName>
    <definedName name="_Netzversorger">Bericht!$L$7</definedName>
    <definedName name="_Parkplatzbonus_pronovo">Basisdaten!$D$80</definedName>
    <definedName name="_PLZ">Bericht!$D$9</definedName>
    <definedName name="_Projektname">Bericht!$D$7</definedName>
    <definedName name="_RasterAzimut">'Faktor Ausrichtung'!$B$1</definedName>
    <definedName name="_RasterNeigung">'Faktor Ausrichtung'!$B$2</definedName>
    <definedName name="_Referenzkosten_blendfrei">Basisdaten!$D$38</definedName>
    <definedName name="_Referenzkosten_Ges.Min_kWp">Datengrundlage!$F$67</definedName>
    <definedName name="_Referenzkosten_Max_kWp">Datengrundlage!$D$67</definedName>
    <definedName name="_Schwelle_PPBonus">Basisdaten!$E$80</definedName>
    <definedName name="_Spez_Ertrag_Standort">Datengrundlage!$D$17</definedName>
    <definedName name="_Tabelle_F_Ausrichtung">'Faktor Ausrichtung'!$A$19:$N$29</definedName>
    <definedName name="_Tarif_Bezug">Datengrundlage!$D$55</definedName>
    <definedName name="_Tarif_Rücklieferung">Datengrundlage!$D$49</definedName>
    <definedName name="_Tarif_Unterhalt_Basisdaten">Basisdaten!$D$63</definedName>
    <definedName name="_Tarif_Unterhalt_Rechenwert">Datengrundlage!$D$62</definedName>
    <definedName name="_zul_Amortisationszeit">Basisdaten!$D$60</definedName>
    <definedName name="_ZuschlagNord_Stadt">Basisdaten!$D$86</definedName>
    <definedName name="_ZuschlagSteil_Stadt">Basisdaten!$D$85</definedName>
    <definedName name="_xlnm.Print_Area" localSheetId="21">Anhang!$A$1:$M$101</definedName>
    <definedName name="_xlnm.Print_Area" localSheetId="1">Bericht!$A$1:$O$73</definedName>
    <definedName name="_xlnm.Print_Area" localSheetId="2">Datengrundlage!$A$1:$N$81</definedName>
    <definedName name="_xlnm.Print_Area" localSheetId="0">Kurzanleitung!$A$1:$N$60</definedName>
    <definedName name="_xlnm.Print_Area" localSheetId="17">'Modulfeld blendarm'!$A$1:$AL$71</definedName>
    <definedName name="_xlnm.Print_Area" localSheetId="16">'Modulfeld Standard'!$A$1:$AL$71</definedName>
    <definedName name="_xlnm.Print_Area" localSheetId="3">'TF (1)'!$A$1:$L$66</definedName>
    <definedName name="_xlnm.Print_Area" localSheetId="12">'TF (10)'!$A$1:$L$66</definedName>
    <definedName name="_xlnm.Print_Area" localSheetId="13">'TF (11)'!$A$1:$L$66</definedName>
    <definedName name="_xlnm.Print_Area" localSheetId="14">'TF (12)'!$A$1:$L$66</definedName>
    <definedName name="_xlnm.Print_Area" localSheetId="4">'TF (2)'!$A$1:$L$66</definedName>
    <definedName name="_xlnm.Print_Area" localSheetId="5">'TF (3)'!$A$1:$L$66</definedName>
    <definedName name="_xlnm.Print_Area" localSheetId="6">'TF (4)'!$A$1:$L$66</definedName>
    <definedName name="_xlnm.Print_Area" localSheetId="7">'TF (5)'!$A$1:$L$66</definedName>
    <definedName name="_xlnm.Print_Area" localSheetId="8">'TF (6)'!$A$1:$L$66</definedName>
    <definedName name="_xlnm.Print_Area" localSheetId="9">'TF (7)'!$A$1:$L$66</definedName>
    <definedName name="_xlnm.Print_Area" localSheetId="10">'TF (8)'!$A$1:$L$66</definedName>
    <definedName name="_xlnm.Print_Area" localSheetId="11">'TF (9)'!$A$1:$L$66</definedName>
    <definedName name="Wirtschaftlichkeit_Achsenbeschriftung" localSheetId="18">OFFSET(Wirtschaftlichkeit_Max!$B$5,,,COUNT(Wirtschaftlichkeit_Max!$B$5:$B$101),1)</definedName>
    <definedName name="Wirtschaftlichkeit_Achsenbeschriftung" localSheetId="19">OFFSET(Wirtschaftlichkeit_Wunsch!$B$5,,,COUNT(Wirtschaftlichkeit_Wunsch!$B$5:$B$101),1)</definedName>
    <definedName name="Wirtschaftlichkeit_neg_Entwicklung" localSheetId="19">OFFSET(Wirtschaftlichkeit_Wunsch!$N$5,,,COUNT(Wirtschaftlichkeit_Wunsch!$N$5:$N$101),1)</definedName>
    <definedName name="Wirtschaftlichkeit_neg_Entwicklung">OFFSET(Wirtschaftlichkeit_Max!$N$5,,,COUNT(Wirtschaftlichkeit_Max!$N$5:$N$101),1)</definedName>
    <definedName name="Wirtschaftlichkeit_pos_Entwicklung" localSheetId="19">OFFSET(Wirtschaftlichkeit_Wunsch!$O$5,,,COUNT(Wirtschaftlichkeit_Wunsch!$O$5:$O$101),1)</definedName>
    <definedName name="Wirtschaftlichkeit_pos_Entwicklung">OFFSET(Wirtschaftlichkeit_Max!$O$5,,,COUNT(Wirtschaftlichkeit_Max!$O$5:$O$101),1)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04" l="1"/>
  <c r="O47" i="91"/>
  <c r="B6" i="105"/>
  <c r="C32" i="82" l="1"/>
  <c r="C23" i="82"/>
  <c r="H79" i="82"/>
  <c r="L55" i="91"/>
  <c r="P55" i="91"/>
  <c r="P54" i="91"/>
  <c r="D37" i="91"/>
  <c r="D33" i="91"/>
  <c r="D23" i="91"/>
  <c r="D24" i="91" s="1"/>
  <c r="D28" i="91"/>
  <c r="R47" i="91"/>
  <c r="B6" i="83" l="1"/>
  <c r="E28" i="93"/>
  <c r="E28" i="94"/>
  <c r="E28" i="95"/>
  <c r="E28" i="96"/>
  <c r="E28" i="97"/>
  <c r="E28" i="98"/>
  <c r="E28" i="99"/>
  <c r="E28" i="100"/>
  <c r="E28" i="101"/>
  <c r="E28" i="102"/>
  <c r="E28" i="103"/>
  <c r="E28" i="81"/>
  <c r="B69" i="76"/>
  <c r="B68" i="76"/>
  <c r="H40" i="94"/>
  <c r="H40" i="95"/>
  <c r="H40" i="96"/>
  <c r="H40" i="97"/>
  <c r="H40" i="98"/>
  <c r="H40" i="99"/>
  <c r="H40" i="100"/>
  <c r="H40" i="101"/>
  <c r="H40" i="102"/>
  <c r="H40" i="103"/>
  <c r="H40" i="81"/>
  <c r="E40" i="94"/>
  <c r="E40" i="95"/>
  <c r="E40" i="96"/>
  <c r="E40" i="97"/>
  <c r="E40" i="98"/>
  <c r="E40" i="99"/>
  <c r="E40" i="100"/>
  <c r="E40" i="101"/>
  <c r="E40" i="102"/>
  <c r="E40" i="103"/>
  <c r="E40" i="81"/>
  <c r="Q17" i="76"/>
  <c r="Q18" i="76"/>
  <c r="Q19" i="76"/>
  <c r="Q20" i="76"/>
  <c r="Q21" i="76"/>
  <c r="Q22" i="76"/>
  <c r="Q23" i="76"/>
  <c r="Q24" i="76"/>
  <c r="Q25" i="76"/>
  <c r="Q26" i="76"/>
  <c r="Q27" i="76"/>
  <c r="Q16" i="76"/>
  <c r="D19" i="82"/>
  <c r="D28" i="82"/>
  <c r="B71" i="82"/>
  <c r="K70" i="91" l="1"/>
  <c r="K71" i="91"/>
  <c r="K69" i="91"/>
  <c r="K55" i="91" l="1"/>
  <c r="O55" i="91"/>
  <c r="B70" i="76"/>
  <c r="D38" i="91" l="1"/>
  <c r="C70" i="76"/>
  <c r="E12" i="93"/>
  <c r="E12" i="94"/>
  <c r="E12" i="95"/>
  <c r="E12" i="96"/>
  <c r="E12" i="97"/>
  <c r="E12" i="98"/>
  <c r="E12" i="99"/>
  <c r="E12" i="100"/>
  <c r="E12" i="101"/>
  <c r="E12" i="102"/>
  <c r="E12" i="103"/>
  <c r="E12" i="81"/>
  <c r="D10" i="82"/>
  <c r="L10" i="76"/>
  <c r="L9" i="76"/>
  <c r="K12" i="93"/>
  <c r="K11" i="93"/>
  <c r="K12" i="94"/>
  <c r="K11" i="94"/>
  <c r="K12" i="95"/>
  <c r="K11" i="95"/>
  <c r="K12" i="96"/>
  <c r="K11" i="96"/>
  <c r="K12" i="97"/>
  <c r="K11" i="97"/>
  <c r="K12" i="98"/>
  <c r="K11" i="98"/>
  <c r="K12" i="99"/>
  <c r="K11" i="99"/>
  <c r="K12" i="100"/>
  <c r="K11" i="100"/>
  <c r="K12" i="101"/>
  <c r="K11" i="101"/>
  <c r="K12" i="102"/>
  <c r="K11" i="102"/>
  <c r="K12" i="103"/>
  <c r="K11" i="103"/>
  <c r="K12" i="81"/>
  <c r="K11" i="81"/>
  <c r="B11" i="93"/>
  <c r="B11" i="94"/>
  <c r="B11" i="95"/>
  <c r="B11" i="96"/>
  <c r="B11" i="97"/>
  <c r="B11" i="98"/>
  <c r="B11" i="99"/>
  <c r="B11" i="100"/>
  <c r="B11" i="101"/>
  <c r="B11" i="102"/>
  <c r="B11" i="103"/>
  <c r="B11" i="81"/>
  <c r="E11" i="93"/>
  <c r="E11" i="94"/>
  <c r="E11" i="95"/>
  <c r="E11" i="96"/>
  <c r="E11" i="97"/>
  <c r="E11" i="98"/>
  <c r="E11" i="99"/>
  <c r="E11" i="100"/>
  <c r="E11" i="101"/>
  <c r="E11" i="102"/>
  <c r="E11" i="103"/>
  <c r="E11" i="81"/>
  <c r="M6" i="104"/>
  <c r="B6" i="104"/>
  <c r="D5" i="91"/>
  <c r="L7" i="82"/>
  <c r="K9" i="81"/>
  <c r="B63" i="76"/>
  <c r="B62" i="76"/>
  <c r="E2" i="99" l="1"/>
  <c r="L2" i="105"/>
  <c r="L2" i="83"/>
  <c r="E2" i="100"/>
  <c r="E2" i="82"/>
  <c r="E2" i="97"/>
  <c r="E2" i="81"/>
  <c r="E2" i="96"/>
  <c r="E2" i="103"/>
  <c r="E2" i="95"/>
  <c r="E2" i="76"/>
  <c r="E2" i="102"/>
  <c r="E2" i="94"/>
  <c r="E2" i="98"/>
  <c r="E2" i="101"/>
  <c r="E2" i="93"/>
  <c r="I53" i="91"/>
  <c r="I54" i="91"/>
  <c r="I56" i="91"/>
  <c r="I52" i="91"/>
  <c r="I50" i="91"/>
  <c r="I48" i="91"/>
  <c r="I47" i="91"/>
  <c r="R55" i="91"/>
  <c r="I55" i="91" s="1"/>
  <c r="M55" i="91"/>
  <c r="H55" i="91" s="1"/>
  <c r="H53" i="91"/>
  <c r="H54" i="91"/>
  <c r="H56" i="91"/>
  <c r="H52" i="91"/>
  <c r="H48" i="91"/>
  <c r="H50" i="91"/>
  <c r="H47" i="91"/>
  <c r="C31" i="82" l="1"/>
  <c r="D31" i="82" s="1"/>
  <c r="C34" i="82"/>
  <c r="D34" i="82" s="1"/>
  <c r="C35" i="82"/>
  <c r="D35" i="82" s="1"/>
  <c r="C30" i="82"/>
  <c r="D30" i="82" s="1"/>
  <c r="C21" i="82"/>
  <c r="D21" i="82" s="1"/>
  <c r="L9" i="82"/>
  <c r="D9" i="82"/>
  <c r="E35" i="82" l="1"/>
  <c r="G35" i="82" s="1"/>
  <c r="E34" i="82"/>
  <c r="G34" i="82" s="1"/>
  <c r="E31" i="82"/>
  <c r="G31" i="82" s="1"/>
  <c r="B2" i="105"/>
  <c r="A1" i="105"/>
  <c r="G31" i="103" l="1"/>
  <c r="G31" i="102"/>
  <c r="G31" i="101"/>
  <c r="G31" i="100"/>
  <c r="G31" i="99"/>
  <c r="G31" i="98"/>
  <c r="G31" i="97"/>
  <c r="G31" i="96"/>
  <c r="G31" i="95"/>
  <c r="G31" i="94"/>
  <c r="G31" i="93"/>
  <c r="G31" i="81"/>
  <c r="A1" i="104"/>
  <c r="H65" i="103"/>
  <c r="G65" i="103"/>
  <c r="F65" i="103"/>
  <c r="H64" i="103"/>
  <c r="G64" i="103"/>
  <c r="F64" i="103"/>
  <c r="H63" i="103"/>
  <c r="G63" i="103"/>
  <c r="F63" i="103"/>
  <c r="H62" i="103"/>
  <c r="G62" i="103"/>
  <c r="F62" i="103"/>
  <c r="H61" i="103"/>
  <c r="G61" i="103"/>
  <c r="F61" i="103"/>
  <c r="H60" i="103"/>
  <c r="G60" i="103"/>
  <c r="F60" i="103"/>
  <c r="H59" i="103"/>
  <c r="G59" i="103"/>
  <c r="F59" i="103"/>
  <c r="H58" i="103"/>
  <c r="G58" i="103"/>
  <c r="F58" i="103"/>
  <c r="H57" i="103"/>
  <c r="G57" i="103"/>
  <c r="F57" i="103"/>
  <c r="H56" i="103"/>
  <c r="G56" i="103"/>
  <c r="F56" i="103"/>
  <c r="H55" i="103"/>
  <c r="G55" i="103"/>
  <c r="F55" i="103"/>
  <c r="H54" i="103"/>
  <c r="G54" i="103"/>
  <c r="F54" i="103"/>
  <c r="H45" i="103"/>
  <c r="G45" i="103"/>
  <c r="F45" i="103"/>
  <c r="E21" i="103"/>
  <c r="E20" i="103"/>
  <c r="K10" i="103"/>
  <c r="H10" i="103"/>
  <c r="E10" i="103"/>
  <c r="B10" i="103"/>
  <c r="K9" i="103"/>
  <c r="H9" i="103"/>
  <c r="E9" i="103"/>
  <c r="B9" i="103"/>
  <c r="B6" i="103"/>
  <c r="A1" i="103"/>
  <c r="H65" i="102"/>
  <c r="G65" i="102"/>
  <c r="F65" i="102"/>
  <c r="H64" i="102"/>
  <c r="G64" i="102"/>
  <c r="F64" i="102"/>
  <c r="H63" i="102"/>
  <c r="G63" i="102"/>
  <c r="F63" i="102"/>
  <c r="H62" i="102"/>
  <c r="G62" i="102"/>
  <c r="F62" i="102"/>
  <c r="H61" i="102"/>
  <c r="G61" i="102"/>
  <c r="F61" i="102"/>
  <c r="H60" i="102"/>
  <c r="G60" i="102"/>
  <c r="F60" i="102"/>
  <c r="H59" i="102"/>
  <c r="G59" i="102"/>
  <c r="F59" i="102"/>
  <c r="H58" i="102"/>
  <c r="G58" i="102"/>
  <c r="F58" i="102"/>
  <c r="H57" i="102"/>
  <c r="G57" i="102"/>
  <c r="F57" i="102"/>
  <c r="H56" i="102"/>
  <c r="G56" i="102"/>
  <c r="F56" i="102"/>
  <c r="H55" i="102"/>
  <c r="G55" i="102"/>
  <c r="F55" i="102"/>
  <c r="H54" i="102"/>
  <c r="G54" i="102"/>
  <c r="F54" i="102"/>
  <c r="H45" i="102"/>
  <c r="G45" i="102"/>
  <c r="F45" i="102"/>
  <c r="E21" i="102"/>
  <c r="E20" i="102"/>
  <c r="K10" i="102"/>
  <c r="H10" i="102"/>
  <c r="E10" i="102"/>
  <c r="B10" i="102"/>
  <c r="K9" i="102"/>
  <c r="H9" i="102"/>
  <c r="E9" i="102"/>
  <c r="B9" i="102"/>
  <c r="B6" i="102"/>
  <c r="A1" i="102"/>
  <c r="H65" i="101"/>
  <c r="G65" i="101"/>
  <c r="F65" i="101"/>
  <c r="H64" i="101"/>
  <c r="G64" i="101"/>
  <c r="F64" i="101"/>
  <c r="H63" i="101"/>
  <c r="G63" i="101"/>
  <c r="F63" i="101"/>
  <c r="H62" i="101"/>
  <c r="G62" i="101"/>
  <c r="F62" i="101"/>
  <c r="H61" i="101"/>
  <c r="G61" i="101"/>
  <c r="F61" i="101"/>
  <c r="H60" i="101"/>
  <c r="G60" i="101"/>
  <c r="F60" i="101"/>
  <c r="H59" i="101"/>
  <c r="G59" i="101"/>
  <c r="F59" i="101"/>
  <c r="H58" i="101"/>
  <c r="G58" i="101"/>
  <c r="F58" i="101"/>
  <c r="H57" i="101"/>
  <c r="G57" i="101"/>
  <c r="F57" i="101"/>
  <c r="H56" i="101"/>
  <c r="G56" i="101"/>
  <c r="F56" i="101"/>
  <c r="H55" i="101"/>
  <c r="G55" i="101"/>
  <c r="F55" i="101"/>
  <c r="H54" i="101"/>
  <c r="G54" i="101"/>
  <c r="F54" i="101"/>
  <c r="H45" i="101"/>
  <c r="G45" i="101"/>
  <c r="F45" i="101"/>
  <c r="E21" i="101"/>
  <c r="E20" i="101"/>
  <c r="K10" i="101"/>
  <c r="H10" i="101"/>
  <c r="E10" i="101"/>
  <c r="B10" i="101"/>
  <c r="K9" i="101"/>
  <c r="H9" i="101"/>
  <c r="E9" i="101"/>
  <c r="B9" i="101"/>
  <c r="B6" i="101"/>
  <c r="A1" i="101"/>
  <c r="H65" i="100"/>
  <c r="G65" i="100"/>
  <c r="F65" i="100"/>
  <c r="H64" i="100"/>
  <c r="G64" i="100"/>
  <c r="F64" i="100"/>
  <c r="H63" i="100"/>
  <c r="G63" i="100"/>
  <c r="F63" i="100"/>
  <c r="H62" i="100"/>
  <c r="G62" i="100"/>
  <c r="F62" i="100"/>
  <c r="H61" i="100"/>
  <c r="G61" i="100"/>
  <c r="F61" i="100"/>
  <c r="H60" i="100"/>
  <c r="G60" i="100"/>
  <c r="F60" i="100"/>
  <c r="H59" i="100"/>
  <c r="G59" i="100"/>
  <c r="F59" i="100"/>
  <c r="H58" i="100"/>
  <c r="G58" i="100"/>
  <c r="F58" i="100"/>
  <c r="H57" i="100"/>
  <c r="G57" i="100"/>
  <c r="F57" i="100"/>
  <c r="H56" i="100"/>
  <c r="G56" i="100"/>
  <c r="F56" i="100"/>
  <c r="H55" i="100"/>
  <c r="G55" i="100"/>
  <c r="F55" i="100"/>
  <c r="H54" i="100"/>
  <c r="G54" i="100"/>
  <c r="F54" i="100"/>
  <c r="H45" i="100"/>
  <c r="G45" i="100"/>
  <c r="F45" i="100"/>
  <c r="E21" i="100"/>
  <c r="E20" i="100"/>
  <c r="K10" i="100"/>
  <c r="H10" i="100"/>
  <c r="E10" i="100"/>
  <c r="B10" i="100"/>
  <c r="K9" i="100"/>
  <c r="H9" i="100"/>
  <c r="E9" i="100"/>
  <c r="B9" i="100"/>
  <c r="B6" i="100"/>
  <c r="A1" i="100"/>
  <c r="H65" i="99"/>
  <c r="G65" i="99"/>
  <c r="F65" i="99"/>
  <c r="H64" i="99"/>
  <c r="G64" i="99"/>
  <c r="F64" i="99"/>
  <c r="H63" i="99"/>
  <c r="G63" i="99"/>
  <c r="F63" i="99"/>
  <c r="H62" i="99"/>
  <c r="G62" i="99"/>
  <c r="F62" i="99"/>
  <c r="H61" i="99"/>
  <c r="G61" i="99"/>
  <c r="F61" i="99"/>
  <c r="H60" i="99"/>
  <c r="G60" i="99"/>
  <c r="F60" i="99"/>
  <c r="H59" i="99"/>
  <c r="G59" i="99"/>
  <c r="F59" i="99"/>
  <c r="H58" i="99"/>
  <c r="G58" i="99"/>
  <c r="F58" i="99"/>
  <c r="H57" i="99"/>
  <c r="G57" i="99"/>
  <c r="F57" i="99"/>
  <c r="H56" i="99"/>
  <c r="G56" i="99"/>
  <c r="F56" i="99"/>
  <c r="H55" i="99"/>
  <c r="G55" i="99"/>
  <c r="F55" i="99"/>
  <c r="H54" i="99"/>
  <c r="G54" i="99"/>
  <c r="F54" i="99"/>
  <c r="H45" i="99"/>
  <c r="G45" i="99"/>
  <c r="F45" i="99"/>
  <c r="E21" i="99"/>
  <c r="E20" i="99"/>
  <c r="K10" i="99"/>
  <c r="H10" i="99"/>
  <c r="E10" i="99"/>
  <c r="B10" i="99"/>
  <c r="K9" i="99"/>
  <c r="H9" i="99"/>
  <c r="E9" i="99"/>
  <c r="B9" i="99"/>
  <c r="B6" i="99"/>
  <c r="A1" i="99"/>
  <c r="H65" i="98"/>
  <c r="G65" i="98"/>
  <c r="F65" i="98"/>
  <c r="H64" i="98"/>
  <c r="G64" i="98"/>
  <c r="F64" i="98"/>
  <c r="H63" i="98"/>
  <c r="G63" i="98"/>
  <c r="F63" i="98"/>
  <c r="H62" i="98"/>
  <c r="G62" i="98"/>
  <c r="F62" i="98"/>
  <c r="H61" i="98"/>
  <c r="G61" i="98"/>
  <c r="F61" i="98"/>
  <c r="H60" i="98"/>
  <c r="G60" i="98"/>
  <c r="F60" i="98"/>
  <c r="H59" i="98"/>
  <c r="G59" i="98"/>
  <c r="F59" i="98"/>
  <c r="H58" i="98"/>
  <c r="G58" i="98"/>
  <c r="F58" i="98"/>
  <c r="H57" i="98"/>
  <c r="G57" i="98"/>
  <c r="F57" i="98"/>
  <c r="H56" i="98"/>
  <c r="G56" i="98"/>
  <c r="F56" i="98"/>
  <c r="H55" i="98"/>
  <c r="G55" i="98"/>
  <c r="F55" i="98"/>
  <c r="H54" i="98"/>
  <c r="G54" i="98"/>
  <c r="F54" i="98"/>
  <c r="H45" i="98"/>
  <c r="G45" i="98"/>
  <c r="F45" i="98"/>
  <c r="E21" i="98"/>
  <c r="E20" i="98"/>
  <c r="K10" i="98"/>
  <c r="H10" i="98"/>
  <c r="E10" i="98"/>
  <c r="B10" i="98"/>
  <c r="K9" i="98"/>
  <c r="H9" i="98"/>
  <c r="E9" i="98"/>
  <c r="B9" i="98"/>
  <c r="B6" i="98"/>
  <c r="A1" i="98"/>
  <c r="H65" i="97"/>
  <c r="G65" i="97"/>
  <c r="F65" i="97"/>
  <c r="H64" i="97"/>
  <c r="G64" i="97"/>
  <c r="F64" i="97"/>
  <c r="H63" i="97"/>
  <c r="G63" i="97"/>
  <c r="F63" i="97"/>
  <c r="H62" i="97"/>
  <c r="G62" i="97"/>
  <c r="F62" i="97"/>
  <c r="H61" i="97"/>
  <c r="G61" i="97"/>
  <c r="F61" i="97"/>
  <c r="H60" i="97"/>
  <c r="G60" i="97"/>
  <c r="F60" i="97"/>
  <c r="H59" i="97"/>
  <c r="G59" i="97"/>
  <c r="F59" i="97"/>
  <c r="H58" i="97"/>
  <c r="G58" i="97"/>
  <c r="F58" i="97"/>
  <c r="H57" i="97"/>
  <c r="G57" i="97"/>
  <c r="F57" i="97"/>
  <c r="H56" i="97"/>
  <c r="G56" i="97"/>
  <c r="F56" i="97"/>
  <c r="H55" i="97"/>
  <c r="G55" i="97"/>
  <c r="F55" i="97"/>
  <c r="H54" i="97"/>
  <c r="G54" i="97"/>
  <c r="F54" i="97"/>
  <c r="H45" i="97"/>
  <c r="G45" i="97"/>
  <c r="F45" i="97"/>
  <c r="E21" i="97"/>
  <c r="E20" i="97"/>
  <c r="K10" i="97"/>
  <c r="H10" i="97"/>
  <c r="E10" i="97"/>
  <c r="B10" i="97"/>
  <c r="K9" i="97"/>
  <c r="H9" i="97"/>
  <c r="E9" i="97"/>
  <c r="B9" i="97"/>
  <c r="B6" i="97"/>
  <c r="A1" i="97"/>
  <c r="H65" i="96"/>
  <c r="G65" i="96"/>
  <c r="F65" i="96"/>
  <c r="H64" i="96"/>
  <c r="G64" i="96"/>
  <c r="F64" i="96"/>
  <c r="H63" i="96"/>
  <c r="G63" i="96"/>
  <c r="F63" i="96"/>
  <c r="H62" i="96"/>
  <c r="G62" i="96"/>
  <c r="F62" i="96"/>
  <c r="H61" i="96"/>
  <c r="G61" i="96"/>
  <c r="F61" i="96"/>
  <c r="H60" i="96"/>
  <c r="G60" i="96"/>
  <c r="F60" i="96"/>
  <c r="H59" i="96"/>
  <c r="G59" i="96"/>
  <c r="F59" i="96"/>
  <c r="H58" i="96"/>
  <c r="G58" i="96"/>
  <c r="F58" i="96"/>
  <c r="H57" i="96"/>
  <c r="G57" i="96"/>
  <c r="F57" i="96"/>
  <c r="H56" i="96"/>
  <c r="G56" i="96"/>
  <c r="F56" i="96"/>
  <c r="H55" i="96"/>
  <c r="G55" i="96"/>
  <c r="F55" i="96"/>
  <c r="H54" i="96"/>
  <c r="G54" i="96"/>
  <c r="F54" i="96"/>
  <c r="H45" i="96"/>
  <c r="G45" i="96"/>
  <c r="F45" i="96"/>
  <c r="E21" i="96"/>
  <c r="E20" i="96"/>
  <c r="K10" i="96"/>
  <c r="H10" i="96"/>
  <c r="E10" i="96"/>
  <c r="B10" i="96"/>
  <c r="K9" i="96"/>
  <c r="H9" i="96"/>
  <c r="E9" i="96"/>
  <c r="B9" i="96"/>
  <c r="B6" i="96"/>
  <c r="A1" i="96"/>
  <c r="H65" i="95"/>
  <c r="G65" i="95"/>
  <c r="F65" i="95"/>
  <c r="H64" i="95"/>
  <c r="G64" i="95"/>
  <c r="F64" i="95"/>
  <c r="H63" i="95"/>
  <c r="G63" i="95"/>
  <c r="F63" i="95"/>
  <c r="H62" i="95"/>
  <c r="G62" i="95"/>
  <c r="F62" i="95"/>
  <c r="H61" i="95"/>
  <c r="G61" i="95"/>
  <c r="F61" i="95"/>
  <c r="H60" i="95"/>
  <c r="G60" i="95"/>
  <c r="F60" i="95"/>
  <c r="H59" i="95"/>
  <c r="G59" i="95"/>
  <c r="F59" i="95"/>
  <c r="H58" i="95"/>
  <c r="G58" i="95"/>
  <c r="F58" i="95"/>
  <c r="H57" i="95"/>
  <c r="G57" i="95"/>
  <c r="F57" i="95"/>
  <c r="H56" i="95"/>
  <c r="G56" i="95"/>
  <c r="F56" i="95"/>
  <c r="H55" i="95"/>
  <c r="G55" i="95"/>
  <c r="F55" i="95"/>
  <c r="H54" i="95"/>
  <c r="G54" i="95"/>
  <c r="F54" i="95"/>
  <c r="H45" i="95"/>
  <c r="G45" i="95"/>
  <c r="F45" i="95"/>
  <c r="E21" i="95"/>
  <c r="E20" i="95"/>
  <c r="K10" i="95"/>
  <c r="H10" i="95"/>
  <c r="E10" i="95"/>
  <c r="B10" i="95"/>
  <c r="K9" i="95"/>
  <c r="H9" i="95"/>
  <c r="E9" i="95"/>
  <c r="B9" i="95"/>
  <c r="B6" i="95"/>
  <c r="A1" i="95"/>
  <c r="H65" i="94"/>
  <c r="G65" i="94"/>
  <c r="F65" i="94"/>
  <c r="H64" i="94"/>
  <c r="G64" i="94"/>
  <c r="F64" i="94"/>
  <c r="H63" i="94"/>
  <c r="G63" i="94"/>
  <c r="F63" i="94"/>
  <c r="H62" i="94"/>
  <c r="G62" i="94"/>
  <c r="F62" i="94"/>
  <c r="H61" i="94"/>
  <c r="G61" i="94"/>
  <c r="F61" i="94"/>
  <c r="H60" i="94"/>
  <c r="G60" i="94"/>
  <c r="F60" i="94"/>
  <c r="H59" i="94"/>
  <c r="G59" i="94"/>
  <c r="F59" i="94"/>
  <c r="H58" i="94"/>
  <c r="G58" i="94"/>
  <c r="F58" i="94"/>
  <c r="H57" i="94"/>
  <c r="G57" i="94"/>
  <c r="F57" i="94"/>
  <c r="H56" i="94"/>
  <c r="G56" i="94"/>
  <c r="F56" i="94"/>
  <c r="H55" i="94"/>
  <c r="G55" i="94"/>
  <c r="F55" i="94"/>
  <c r="H54" i="94"/>
  <c r="G54" i="94"/>
  <c r="F54" i="94"/>
  <c r="H45" i="94"/>
  <c r="G45" i="94"/>
  <c r="F45" i="94"/>
  <c r="E21" i="94"/>
  <c r="E20" i="94"/>
  <c r="K10" i="94"/>
  <c r="H10" i="94"/>
  <c r="E10" i="94"/>
  <c r="B10" i="94"/>
  <c r="K9" i="94"/>
  <c r="H9" i="94"/>
  <c r="E9" i="94"/>
  <c r="B9" i="94"/>
  <c r="B6" i="94"/>
  <c r="A1" i="94"/>
  <c r="H65" i="93"/>
  <c r="G65" i="93"/>
  <c r="F65" i="93"/>
  <c r="H64" i="93"/>
  <c r="G64" i="93"/>
  <c r="F64" i="93"/>
  <c r="H63" i="93"/>
  <c r="G63" i="93"/>
  <c r="F63" i="93"/>
  <c r="H62" i="93"/>
  <c r="G62" i="93"/>
  <c r="F62" i="93"/>
  <c r="H61" i="93"/>
  <c r="G61" i="93"/>
  <c r="F61" i="93"/>
  <c r="H60" i="93"/>
  <c r="G60" i="93"/>
  <c r="F60" i="93"/>
  <c r="H59" i="93"/>
  <c r="G59" i="93"/>
  <c r="F59" i="93"/>
  <c r="H58" i="93"/>
  <c r="G58" i="93"/>
  <c r="F58" i="93"/>
  <c r="H57" i="93"/>
  <c r="G57" i="93"/>
  <c r="F57" i="93"/>
  <c r="H56" i="93"/>
  <c r="G56" i="93"/>
  <c r="F56" i="93"/>
  <c r="H55" i="93"/>
  <c r="G55" i="93"/>
  <c r="F55" i="93"/>
  <c r="H54" i="93"/>
  <c r="G54" i="93"/>
  <c r="F54" i="93"/>
  <c r="H45" i="93"/>
  <c r="G45" i="93"/>
  <c r="F45" i="93"/>
  <c r="E21" i="93"/>
  <c r="E20" i="93"/>
  <c r="K10" i="93"/>
  <c r="H10" i="93"/>
  <c r="E10" i="93"/>
  <c r="B10" i="93"/>
  <c r="K9" i="93"/>
  <c r="H9" i="93"/>
  <c r="E9" i="93"/>
  <c r="B9" i="93"/>
  <c r="B6" i="93"/>
  <c r="A1" i="93"/>
  <c r="E10" i="81"/>
  <c r="C67" i="82"/>
  <c r="H67" i="82" s="1"/>
  <c r="H48" i="94" l="1"/>
  <c r="H49" i="94" s="1"/>
  <c r="H48" i="98"/>
  <c r="H49" i="98" s="1"/>
  <c r="H48" i="102"/>
  <c r="H49" i="102" s="1"/>
  <c r="F48" i="95"/>
  <c r="F49" i="95" s="1"/>
  <c r="H48" i="103"/>
  <c r="H49" i="103" s="1"/>
  <c r="H48" i="97"/>
  <c r="H49" i="97" s="1"/>
  <c r="H48" i="100"/>
  <c r="H49" i="100" s="1"/>
  <c r="F47" i="102"/>
  <c r="H48" i="95"/>
  <c r="H49" i="95" s="1"/>
  <c r="H48" i="99"/>
  <c r="H49" i="99" s="1"/>
  <c r="H48" i="101"/>
  <c r="H49" i="101" s="1"/>
  <c r="H48" i="96"/>
  <c r="H49" i="96" s="1"/>
  <c r="F48" i="93"/>
  <c r="F49" i="93" s="1"/>
  <c r="H48" i="93"/>
  <c r="H49" i="93" s="1"/>
  <c r="G48" i="93"/>
  <c r="G49" i="93" s="1"/>
  <c r="F47" i="103"/>
  <c r="G47" i="103"/>
  <c r="H47" i="103"/>
  <c r="F48" i="103"/>
  <c r="F49" i="103" s="1"/>
  <c r="G48" i="103"/>
  <c r="G49" i="103" s="1"/>
  <c r="G47" i="102"/>
  <c r="H47" i="102"/>
  <c r="F48" i="102"/>
  <c r="F49" i="102" s="1"/>
  <c r="G48" i="102"/>
  <c r="G49" i="102" s="1"/>
  <c r="F47" i="101"/>
  <c r="G47" i="101"/>
  <c r="H47" i="101"/>
  <c r="F48" i="101"/>
  <c r="F49" i="101" s="1"/>
  <c r="G48" i="101"/>
  <c r="G49" i="101" s="1"/>
  <c r="F47" i="100"/>
  <c r="G47" i="100"/>
  <c r="H47" i="100"/>
  <c r="F48" i="100"/>
  <c r="F49" i="100" s="1"/>
  <c r="G48" i="100"/>
  <c r="G49" i="100" s="1"/>
  <c r="F47" i="99"/>
  <c r="G47" i="99"/>
  <c r="H47" i="99"/>
  <c r="F48" i="99"/>
  <c r="F49" i="99" s="1"/>
  <c r="G48" i="99"/>
  <c r="G49" i="99" s="1"/>
  <c r="F47" i="98"/>
  <c r="G47" i="98"/>
  <c r="H47" i="98"/>
  <c r="F48" i="98"/>
  <c r="F49" i="98" s="1"/>
  <c r="G48" i="98"/>
  <c r="G49" i="98" s="1"/>
  <c r="F47" i="97"/>
  <c r="G47" i="97"/>
  <c r="H47" i="97"/>
  <c r="F48" i="97"/>
  <c r="F49" i="97" s="1"/>
  <c r="G48" i="97"/>
  <c r="G49" i="97" s="1"/>
  <c r="F47" i="96"/>
  <c r="G47" i="96"/>
  <c r="H47" i="96"/>
  <c r="F48" i="96"/>
  <c r="F49" i="96" s="1"/>
  <c r="G48" i="96"/>
  <c r="G49" i="96" s="1"/>
  <c r="F47" i="95"/>
  <c r="G47" i="95"/>
  <c r="H47" i="95"/>
  <c r="G48" i="95"/>
  <c r="G49" i="95" s="1"/>
  <c r="F47" i="94"/>
  <c r="G47" i="94"/>
  <c r="H47" i="94"/>
  <c r="F48" i="94"/>
  <c r="F49" i="94" s="1"/>
  <c r="G48" i="94"/>
  <c r="G49" i="94" s="1"/>
  <c r="F47" i="93"/>
  <c r="G47" i="93"/>
  <c r="H47" i="93"/>
  <c r="D78" i="82" l="1"/>
  <c r="F78" i="82"/>
  <c r="B78" i="91"/>
  <c r="B77" i="91"/>
  <c r="B76" i="91"/>
  <c r="C73" i="82"/>
  <c r="G47" i="91"/>
  <c r="C74" i="82" l="1"/>
  <c r="C76" i="82"/>
  <c r="C75" i="82"/>
  <c r="C69" i="82" l="1"/>
  <c r="H69" i="82" s="1"/>
  <c r="G62" i="82"/>
  <c r="G61" i="82"/>
  <c r="C59" i="82"/>
  <c r="C60" i="82"/>
  <c r="C61" i="82"/>
  <c r="C62" i="82"/>
  <c r="C51" i="82"/>
  <c r="C52" i="82"/>
  <c r="C53" i="82"/>
  <c r="C54" i="82"/>
  <c r="C50" i="82"/>
  <c r="C48" i="82"/>
  <c r="C45" i="82"/>
  <c r="E45" i="82" s="1"/>
  <c r="C44" i="82"/>
  <c r="G46" i="91"/>
  <c r="F47" i="91" s="1"/>
  <c r="D47" i="91"/>
  <c r="G45" i="91"/>
  <c r="D45" i="91" s="1"/>
  <c r="C25" i="82"/>
  <c r="E25" i="82" s="1"/>
  <c r="G25" i="82" s="1"/>
  <c r="C26" i="82"/>
  <c r="D26" i="82" s="1"/>
  <c r="C39" i="82"/>
  <c r="E39" i="82" s="1"/>
  <c r="G39" i="82" s="1"/>
  <c r="C40" i="82"/>
  <c r="C41" i="82"/>
  <c r="E41" i="82" s="1"/>
  <c r="G41" i="82" s="1"/>
  <c r="E23" i="82"/>
  <c r="G23" i="82" s="1"/>
  <c r="C14" i="82"/>
  <c r="D14" i="82" s="1"/>
  <c r="D15" i="82" s="1"/>
  <c r="G24" i="82"/>
  <c r="C22" i="82"/>
  <c r="E22" i="82" s="1"/>
  <c r="G22" i="82" s="1"/>
  <c r="E40" i="82" l="1"/>
  <c r="G40" i="82" s="1"/>
  <c r="D69" i="82"/>
  <c r="F69" i="82"/>
  <c r="D25" i="82"/>
  <c r="D23" i="82"/>
  <c r="D41" i="82"/>
  <c r="D40" i="82"/>
  <c r="D22" i="82"/>
  <c r="E26" i="82"/>
  <c r="G26" i="82" s="1"/>
  <c r="D39" i="82"/>
  <c r="E14" i="82"/>
  <c r="D16" i="82" s="1"/>
  <c r="H16" i="82"/>
  <c r="H40" i="93" l="1"/>
  <c r="E40" i="93"/>
  <c r="E25" i="93"/>
  <c r="E25" i="101"/>
  <c r="E26" i="97"/>
  <c r="E25" i="81"/>
  <c r="E26" i="103"/>
  <c r="E25" i="94"/>
  <c r="E25" i="102"/>
  <c r="E26" i="98"/>
  <c r="E25" i="96"/>
  <c r="E26" i="96"/>
  <c r="E25" i="95"/>
  <c r="E25" i="103"/>
  <c r="E26" i="99"/>
  <c r="E26" i="100"/>
  <c r="E25" i="100"/>
  <c r="E26" i="81"/>
  <c r="E25" i="97"/>
  <c r="E26" i="93"/>
  <c r="E26" i="101"/>
  <c r="E26" i="102"/>
  <c r="E25" i="98"/>
  <c r="E26" i="94"/>
  <c r="E25" i="99"/>
  <c r="E26" i="95"/>
  <c r="R39" i="105"/>
  <c r="F39" i="105"/>
  <c r="H10" i="105"/>
  <c r="R39" i="83"/>
  <c r="C34" i="105"/>
  <c r="O69" i="105"/>
  <c r="AG31" i="105"/>
  <c r="W19" i="105"/>
  <c r="AG39" i="105"/>
  <c r="AG10" i="105"/>
  <c r="C69" i="105"/>
  <c r="R28" i="105"/>
  <c r="L54" i="105"/>
  <c r="AG22" i="105"/>
  <c r="X49" i="105"/>
  <c r="AG64" i="105"/>
  <c r="C28" i="105"/>
  <c r="B50" i="98"/>
  <c r="B50" i="103"/>
  <c r="B50" i="95"/>
  <c r="B50" i="100"/>
  <c r="B50" i="102"/>
  <c r="B50" i="94"/>
  <c r="B50" i="101"/>
  <c r="B50" i="93"/>
  <c r="B50" i="81"/>
  <c r="B50" i="96"/>
  <c r="B50" i="99"/>
  <c r="B50" i="97"/>
  <c r="O69" i="83"/>
  <c r="AG31" i="83"/>
  <c r="C34" i="83"/>
  <c r="AG64" i="83"/>
  <c r="R28" i="83"/>
  <c r="X49" i="83"/>
  <c r="AG22" i="83"/>
  <c r="AG39" i="83"/>
  <c r="W19" i="83"/>
  <c r="L54" i="83"/>
  <c r="AG10" i="83"/>
  <c r="C69" i="83"/>
  <c r="C28" i="83"/>
  <c r="H10" i="83"/>
  <c r="F39" i="83"/>
  <c r="E16" i="82"/>
  <c r="D17" i="82" s="1"/>
  <c r="E31" i="103" s="1"/>
  <c r="C16" i="82"/>
  <c r="E39" i="103" l="1"/>
  <c r="H39" i="103"/>
  <c r="E39" i="81"/>
  <c r="H39" i="81"/>
  <c r="E39" i="94"/>
  <c r="H39" i="94"/>
  <c r="H39" i="100"/>
  <c r="E39" i="100"/>
  <c r="E39" i="96"/>
  <c r="H39" i="96"/>
  <c r="E39" i="102"/>
  <c r="H39" i="102"/>
  <c r="E39" i="95"/>
  <c r="H39" i="95"/>
  <c r="H39" i="99"/>
  <c r="E39" i="99"/>
  <c r="E39" i="101"/>
  <c r="H39" i="101"/>
  <c r="H39" i="97"/>
  <c r="E39" i="97"/>
  <c r="E39" i="93"/>
  <c r="H39" i="93"/>
  <c r="H39" i="98"/>
  <c r="E39" i="98"/>
  <c r="E41" i="101"/>
  <c r="H41" i="101"/>
  <c r="E41" i="96"/>
  <c r="H41" i="96"/>
  <c r="E41" i="95"/>
  <c r="H41" i="95"/>
  <c r="E41" i="98"/>
  <c r="H41" i="98"/>
  <c r="E41" i="93"/>
  <c r="H41" i="93"/>
  <c r="H41" i="81"/>
  <c r="E41" i="81"/>
  <c r="E41" i="94"/>
  <c r="H41" i="94"/>
  <c r="E41" i="100"/>
  <c r="H41" i="100"/>
  <c r="E41" i="99"/>
  <c r="H41" i="99"/>
  <c r="E41" i="103"/>
  <c r="H41" i="103"/>
  <c r="E41" i="102"/>
  <c r="H41" i="102"/>
  <c r="E41" i="97"/>
  <c r="H41" i="97"/>
  <c r="H38" i="95"/>
  <c r="E38" i="95"/>
  <c r="H38" i="81"/>
  <c r="E38" i="81"/>
  <c r="E38" i="98"/>
  <c r="H38" i="98"/>
  <c r="H38" i="94"/>
  <c r="E38" i="94"/>
  <c r="E38" i="100"/>
  <c r="H38" i="100"/>
  <c r="E38" i="99"/>
  <c r="H38" i="99"/>
  <c r="H38" i="103"/>
  <c r="E38" i="103"/>
  <c r="H38" i="102"/>
  <c r="E38" i="102"/>
  <c r="H38" i="101"/>
  <c r="E38" i="101"/>
  <c r="E38" i="97"/>
  <c r="H38" i="97"/>
  <c r="H38" i="93"/>
  <c r="E38" i="93"/>
  <c r="E38" i="96"/>
  <c r="H38" i="96"/>
  <c r="E31" i="101"/>
  <c r="E31" i="102"/>
  <c r="E31" i="99"/>
  <c r="E31" i="100"/>
  <c r="E31" i="97"/>
  <c r="E31" i="98"/>
  <c r="E31" i="95"/>
  <c r="E31" i="96"/>
  <c r="E31" i="93"/>
  <c r="E31" i="94"/>
  <c r="C14" i="76"/>
  <c r="I14" i="76" l="1"/>
  <c r="N14" i="76" s="1"/>
  <c r="B64" i="76"/>
  <c r="U13" i="76"/>
  <c r="R9" i="76"/>
  <c r="F80" i="82"/>
  <c r="D80" i="82"/>
  <c r="D44" i="82"/>
  <c r="H45" i="82" s="1"/>
  <c r="J51" i="76" s="1"/>
  <c r="B2" i="83"/>
  <c r="G7" i="82"/>
  <c r="G8" i="82"/>
  <c r="K10" i="81"/>
  <c r="R10" i="76" l="1"/>
  <c r="B57" i="82"/>
  <c r="B43" i="82"/>
  <c r="B32" i="76"/>
  <c r="K14" i="76"/>
  <c r="B64" i="82"/>
  <c r="D14" i="76"/>
  <c r="D8" i="82"/>
  <c r="D7" i="82"/>
  <c r="B17" i="76"/>
  <c r="A6" i="84"/>
  <c r="A7" i="84" s="1"/>
  <c r="B5" i="84"/>
  <c r="L14" i="76"/>
  <c r="T14" i="76"/>
  <c r="H14" i="76"/>
  <c r="B2" i="80"/>
  <c r="B1" i="80"/>
  <c r="B5" i="65"/>
  <c r="T16" i="76"/>
  <c r="D17" i="76"/>
  <c r="E32" i="103" l="1" a="1"/>
  <c r="E33" i="103" s="1"/>
  <c r="E35" i="103" s="1"/>
  <c r="E32" i="99" a="1"/>
  <c r="E33" i="99" s="1"/>
  <c r="E35" i="99" s="1"/>
  <c r="E32" i="95" a="1"/>
  <c r="E33" i="95" s="1"/>
  <c r="E35" i="95" s="1"/>
  <c r="E32" i="100" a="1"/>
  <c r="E33" i="100" s="1"/>
  <c r="E35" i="100" s="1"/>
  <c r="E32" i="96" a="1"/>
  <c r="E33" i="96" s="1"/>
  <c r="E35" i="96" s="1"/>
  <c r="E32" i="94" a="1"/>
  <c r="E33" i="94" s="1"/>
  <c r="E35" i="94" s="1"/>
  <c r="E32" i="102" a="1"/>
  <c r="E33" i="102" s="1"/>
  <c r="E35" i="102" s="1"/>
  <c r="E32" i="98" a="1"/>
  <c r="E33" i="98" s="1"/>
  <c r="E35" i="98" s="1"/>
  <c r="E32" i="101" a="1"/>
  <c r="E33" i="101" s="1"/>
  <c r="E35" i="101" s="1"/>
  <c r="E32" i="97" a="1"/>
  <c r="E33" i="97" s="1"/>
  <c r="E35" i="97" s="1"/>
  <c r="E32" i="93" a="1"/>
  <c r="E33" i="93" s="1"/>
  <c r="E35" i="93" s="1"/>
  <c r="E32" i="81" a="1"/>
  <c r="D45" i="82"/>
  <c r="M14" i="76"/>
  <c r="J14" i="76"/>
  <c r="F68" i="82"/>
  <c r="D68" i="82"/>
  <c r="B18" i="76"/>
  <c r="A8" i="84"/>
  <c r="AF17" i="76"/>
  <c r="I17" i="76"/>
  <c r="AG17" i="76"/>
  <c r="AH17" i="76"/>
  <c r="AI17" i="76"/>
  <c r="AB17" i="76"/>
  <c r="H17" i="76"/>
  <c r="AC17" i="76"/>
  <c r="AE17" i="76"/>
  <c r="AD17" i="76"/>
  <c r="D16" i="76"/>
  <c r="B19" i="76" l="1"/>
  <c r="A9" i="84"/>
  <c r="U17" i="76"/>
  <c r="AI16" i="76"/>
  <c r="AG16" i="76"/>
  <c r="AF16" i="76"/>
  <c r="AC16" i="76"/>
  <c r="AE16" i="76"/>
  <c r="AB16" i="76"/>
  <c r="I16" i="76"/>
  <c r="H16" i="76"/>
  <c r="D18" i="76"/>
  <c r="V17" i="76" l="1"/>
  <c r="B20" i="76"/>
  <c r="B7" i="84"/>
  <c r="B6" i="84"/>
  <c r="B8" i="84"/>
  <c r="B9" i="84"/>
  <c r="H9" i="84" s="1"/>
  <c r="A10" i="84"/>
  <c r="F63" i="81"/>
  <c r="G63" i="81"/>
  <c r="H63" i="81"/>
  <c r="F64" i="81"/>
  <c r="G64" i="81"/>
  <c r="H64" i="81"/>
  <c r="F65" i="81"/>
  <c r="G65" i="81"/>
  <c r="H65" i="81"/>
  <c r="E20" i="81"/>
  <c r="E9" i="81"/>
  <c r="L8" i="82"/>
  <c r="H10" i="81"/>
  <c r="H9" i="81"/>
  <c r="B10" i="81"/>
  <c r="B9" i="81"/>
  <c r="E21" i="81"/>
  <c r="A1" i="83"/>
  <c r="A1" i="82"/>
  <c r="A1" i="76"/>
  <c r="A1" i="81"/>
  <c r="H55" i="81"/>
  <c r="H56" i="81"/>
  <c r="H57" i="81"/>
  <c r="H58" i="81"/>
  <c r="H59" i="81"/>
  <c r="H60" i="81"/>
  <c r="H61" i="81"/>
  <c r="H62" i="81"/>
  <c r="G55" i="81"/>
  <c r="G56" i="81"/>
  <c r="G57" i="81"/>
  <c r="G58" i="81"/>
  <c r="G59" i="81"/>
  <c r="G60" i="81"/>
  <c r="G61" i="81"/>
  <c r="G62" i="81"/>
  <c r="F55" i="81"/>
  <c r="F56" i="81"/>
  <c r="F57" i="81"/>
  <c r="F58" i="81"/>
  <c r="F59" i="81"/>
  <c r="F60" i="81"/>
  <c r="F61" i="81"/>
  <c r="F62" i="81"/>
  <c r="AF18" i="76"/>
  <c r="H18" i="76"/>
  <c r="AG18" i="76"/>
  <c r="AH18" i="76"/>
  <c r="AI18" i="76"/>
  <c r="AB18" i="76"/>
  <c r="AC18" i="76"/>
  <c r="AD18" i="76"/>
  <c r="I18" i="76"/>
  <c r="AE18" i="76"/>
  <c r="D19" i="76"/>
  <c r="G26" i="103" l="1"/>
  <c r="G26" i="101"/>
  <c r="G26" i="102"/>
  <c r="G26" i="99"/>
  <c r="G26" i="100"/>
  <c r="G26" i="97"/>
  <c r="G26" i="98"/>
  <c r="G26" i="95"/>
  <c r="G26" i="96"/>
  <c r="G26" i="93"/>
  <c r="G26" i="94"/>
  <c r="J47" i="76"/>
  <c r="E31" i="81"/>
  <c r="G26" i="81"/>
  <c r="B21" i="76"/>
  <c r="B10" i="84"/>
  <c r="H10" i="84" s="1"/>
  <c r="A11" i="84"/>
  <c r="F45" i="81"/>
  <c r="D24" i="82" a="1"/>
  <c r="B6" i="81"/>
  <c r="AF19" i="76"/>
  <c r="I19" i="76"/>
  <c r="AG19" i="76"/>
  <c r="U18" i="76"/>
  <c r="AB19" i="76"/>
  <c r="AH19" i="76"/>
  <c r="H19" i="76"/>
  <c r="AI19" i="76"/>
  <c r="AD19" i="76"/>
  <c r="AE19" i="76"/>
  <c r="AC19" i="76"/>
  <c r="AD16" i="76"/>
  <c r="AH16" i="76"/>
  <c r="U16" i="76"/>
  <c r="D20" i="76"/>
  <c r="V16" i="76" l="1"/>
  <c r="W16" i="76" s="1"/>
  <c r="W17" i="76" s="1"/>
  <c r="V18" i="76"/>
  <c r="B22" i="76"/>
  <c r="C7" i="84"/>
  <c r="C6" i="84"/>
  <c r="C8" i="84"/>
  <c r="C9" i="84"/>
  <c r="B11" i="84"/>
  <c r="H11" i="84" s="1"/>
  <c r="A12" i="84"/>
  <c r="C10" i="84"/>
  <c r="AI20" i="76"/>
  <c r="U19" i="76"/>
  <c r="H20" i="76"/>
  <c r="AC20" i="76"/>
  <c r="AF20" i="76"/>
  <c r="AB20" i="76"/>
  <c r="I20" i="76"/>
  <c r="AG20" i="76"/>
  <c r="AH20" i="76"/>
  <c r="AE20" i="76"/>
  <c r="AD20" i="76"/>
  <c r="T19" i="76"/>
  <c r="T17" i="76"/>
  <c r="T20" i="76"/>
  <c r="T18" i="76"/>
  <c r="T21" i="76"/>
  <c r="W18" i="76" l="1"/>
  <c r="V19" i="76"/>
  <c r="K20" i="76"/>
  <c r="J20" i="76"/>
  <c r="K17" i="76"/>
  <c r="J17" i="76"/>
  <c r="K18" i="76"/>
  <c r="J18" i="76"/>
  <c r="J19" i="76"/>
  <c r="K19" i="76"/>
  <c r="K16" i="76"/>
  <c r="B23" i="76"/>
  <c r="A13" i="84"/>
  <c r="B12" i="84"/>
  <c r="H12" i="84" s="1"/>
  <c r="C11" i="84"/>
  <c r="E14" i="76"/>
  <c r="G20" i="76"/>
  <c r="E17" i="76"/>
  <c r="G19" i="76"/>
  <c r="E19" i="76"/>
  <c r="G17" i="76"/>
  <c r="U20" i="76"/>
  <c r="E20" i="76"/>
  <c r="E18" i="76"/>
  <c r="G18" i="76"/>
  <c r="E16" i="76"/>
  <c r="G16" i="76"/>
  <c r="C18" i="76"/>
  <c r="D21" i="76"/>
  <c r="T22" i="76"/>
  <c r="C17" i="76"/>
  <c r="C16" i="76"/>
  <c r="D22" i="76"/>
  <c r="S18" i="76" l="1"/>
  <c r="R18" i="76"/>
  <c r="S20" i="76"/>
  <c r="R20" i="76"/>
  <c r="S19" i="76"/>
  <c r="R19" i="76"/>
  <c r="S17" i="76"/>
  <c r="R17" i="76"/>
  <c r="Z18" i="76"/>
  <c r="AA18" i="76" s="1"/>
  <c r="Z19" i="76"/>
  <c r="AA19" i="76" s="1"/>
  <c r="Z17" i="76"/>
  <c r="AA17" i="76" s="1"/>
  <c r="Z20" i="76"/>
  <c r="AA20" i="76" s="1"/>
  <c r="W19" i="76"/>
  <c r="Z16" i="76"/>
  <c r="S16" i="76"/>
  <c r="R16" i="76"/>
  <c r="V20" i="76"/>
  <c r="B24" i="76"/>
  <c r="C12" i="84"/>
  <c r="A14" i="84"/>
  <c r="B13" i="84"/>
  <c r="H13" i="84" s="1"/>
  <c r="J16" i="76"/>
  <c r="F48" i="81"/>
  <c r="F49" i="81" s="1"/>
  <c r="G45" i="81"/>
  <c r="G47" i="81" s="1"/>
  <c r="G54" i="81" s="1"/>
  <c r="H45" i="81"/>
  <c r="H48" i="81" s="1"/>
  <c r="H49" i="81" s="1"/>
  <c r="AF21" i="76"/>
  <c r="AB21" i="76"/>
  <c r="F19" i="76"/>
  <c r="E21" i="76"/>
  <c r="AG21" i="76"/>
  <c r="AC21" i="76"/>
  <c r="F17" i="76"/>
  <c r="H21" i="76"/>
  <c r="G21" i="76"/>
  <c r="AH22" i="76"/>
  <c r="AH21" i="76"/>
  <c r="AE21" i="76"/>
  <c r="F18" i="76"/>
  <c r="AI21" i="76"/>
  <c r="AD21" i="76"/>
  <c r="F20" i="76"/>
  <c r="H22" i="76"/>
  <c r="AE22" i="76"/>
  <c r="AF22" i="76"/>
  <c r="AB22" i="76"/>
  <c r="G22" i="76"/>
  <c r="AG22" i="76"/>
  <c r="AC22" i="76"/>
  <c r="E22" i="76"/>
  <c r="I22" i="76"/>
  <c r="AI22" i="76"/>
  <c r="AD22" i="76"/>
  <c r="I21" i="76"/>
  <c r="F16" i="76"/>
  <c r="C20" i="76"/>
  <c r="C23" i="76"/>
  <c r="C19" i="76"/>
  <c r="C22" i="76"/>
  <c r="C21" i="76"/>
  <c r="S22" i="76" l="1"/>
  <c r="R22" i="76"/>
  <c r="S21" i="76"/>
  <c r="R21" i="76"/>
  <c r="Z21" i="76"/>
  <c r="AA21" i="76" s="1"/>
  <c r="Z22" i="76"/>
  <c r="AA22" i="76" s="1"/>
  <c r="W20" i="76"/>
  <c r="AA16" i="76"/>
  <c r="K21" i="76"/>
  <c r="K22" i="76"/>
  <c r="J22" i="76"/>
  <c r="J21" i="76"/>
  <c r="B25" i="76"/>
  <c r="C13" i="84"/>
  <c r="A15" i="84"/>
  <c r="B14" i="84"/>
  <c r="H14" i="84" s="1"/>
  <c r="G48" i="81"/>
  <c r="G49" i="81" s="1"/>
  <c r="H47" i="81"/>
  <c r="H54" i="81" s="1"/>
  <c r="F47" i="81"/>
  <c r="F54" i="81" s="1"/>
  <c r="E33" i="81"/>
  <c r="E35" i="81" s="1"/>
  <c r="L19" i="76"/>
  <c r="L20" i="76"/>
  <c r="L18" i="76"/>
  <c r="L17" i="76"/>
  <c r="L16" i="76"/>
  <c r="F22" i="76"/>
  <c r="U22" i="76"/>
  <c r="F21" i="76"/>
  <c r="U21" i="76"/>
  <c r="D24" i="76"/>
  <c r="T23" i="76"/>
  <c r="D23" i="76"/>
  <c r="N17" i="76" l="1"/>
  <c r="M17" i="76"/>
  <c r="X17" i="76" s="1"/>
  <c r="N19" i="76"/>
  <c r="M19" i="76"/>
  <c r="X19" i="76" s="1"/>
  <c r="N18" i="76"/>
  <c r="M18" i="76"/>
  <c r="X18" i="76" s="1"/>
  <c r="N20" i="76"/>
  <c r="M20" i="76"/>
  <c r="V21" i="76"/>
  <c r="W21" i="76" s="1"/>
  <c r="V22" i="76"/>
  <c r="B26" i="76"/>
  <c r="N16" i="76"/>
  <c r="M16" i="76"/>
  <c r="C14" i="84"/>
  <c r="A16" i="84"/>
  <c r="B15" i="84"/>
  <c r="H15" i="84" s="1"/>
  <c r="L21" i="76"/>
  <c r="L22" i="76"/>
  <c r="AG24" i="76"/>
  <c r="AD24" i="76"/>
  <c r="E23" i="76"/>
  <c r="H24" i="76"/>
  <c r="H23" i="76"/>
  <c r="AH24" i="76"/>
  <c r="AE24" i="76"/>
  <c r="G23" i="76"/>
  <c r="E24" i="76"/>
  <c r="AC24" i="76"/>
  <c r="AF23" i="76"/>
  <c r="AB23" i="76"/>
  <c r="AC23" i="76"/>
  <c r="AG23" i="76"/>
  <c r="AI24" i="76"/>
  <c r="G24" i="76"/>
  <c r="AH23" i="76"/>
  <c r="AD23" i="76"/>
  <c r="AI23" i="76"/>
  <c r="AE23" i="76"/>
  <c r="I24" i="76"/>
  <c r="I23" i="76"/>
  <c r="AF24" i="76"/>
  <c r="AB24" i="76"/>
  <c r="C24" i="76"/>
  <c r="D25" i="76"/>
  <c r="T25" i="76"/>
  <c r="T24" i="76"/>
  <c r="Y20" i="76" l="1"/>
  <c r="Y19" i="76"/>
  <c r="X20" i="76"/>
  <c r="M22" i="76"/>
  <c r="X22" i="76" s="1"/>
  <c r="N22" i="76"/>
  <c r="N21" i="76"/>
  <c r="M21" i="76"/>
  <c r="X21" i="76" s="1"/>
  <c r="Y18" i="76"/>
  <c r="Y17" i="76"/>
  <c r="W22" i="76"/>
  <c r="S24" i="76"/>
  <c r="R24" i="76"/>
  <c r="R23" i="76"/>
  <c r="S23" i="76"/>
  <c r="Z24" i="76"/>
  <c r="AA24" i="76" s="1"/>
  <c r="Z23" i="76"/>
  <c r="AA23" i="76" s="1"/>
  <c r="K23" i="76"/>
  <c r="J23" i="76"/>
  <c r="Y16" i="76"/>
  <c r="X16" i="76"/>
  <c r="K24" i="76"/>
  <c r="J24" i="76"/>
  <c r="B27" i="76"/>
  <c r="B16" i="84"/>
  <c r="H16" i="84" s="1"/>
  <c r="A17" i="84"/>
  <c r="C15" i="84"/>
  <c r="AH25" i="76"/>
  <c r="F23" i="76"/>
  <c r="U24" i="76"/>
  <c r="AI25" i="76"/>
  <c r="F24" i="76"/>
  <c r="H25" i="76"/>
  <c r="AB25" i="76"/>
  <c r="E25" i="76"/>
  <c r="AC25" i="76"/>
  <c r="G25" i="76"/>
  <c r="AD25" i="76"/>
  <c r="AG25" i="76"/>
  <c r="AE25" i="76"/>
  <c r="U23" i="76"/>
  <c r="I25" i="76"/>
  <c r="AF25" i="76"/>
  <c r="C25" i="76"/>
  <c r="D26" i="76"/>
  <c r="D27" i="76"/>
  <c r="Y22" i="76" l="1"/>
  <c r="Y21" i="76"/>
  <c r="V23" i="76"/>
  <c r="W23" i="76" s="1"/>
  <c r="V24" i="76"/>
  <c r="Z25" i="76"/>
  <c r="S25" i="76"/>
  <c r="R25" i="76"/>
  <c r="K25" i="76"/>
  <c r="J25" i="76"/>
  <c r="B17" i="84"/>
  <c r="H17" i="84" s="1"/>
  <c r="A18" i="84"/>
  <c r="C16" i="84"/>
  <c r="L24" i="76"/>
  <c r="L23" i="76"/>
  <c r="AG26" i="76"/>
  <c r="AE26" i="76"/>
  <c r="I27" i="76"/>
  <c r="AD27" i="76"/>
  <c r="F25" i="76"/>
  <c r="E27" i="76"/>
  <c r="E26" i="76"/>
  <c r="AF26" i="76"/>
  <c r="AH26" i="76"/>
  <c r="AB26" i="76"/>
  <c r="H27" i="76"/>
  <c r="AD26" i="76"/>
  <c r="AF27" i="76"/>
  <c r="AC26" i="76"/>
  <c r="AG27" i="76"/>
  <c r="AE27" i="76"/>
  <c r="G26" i="76"/>
  <c r="H26" i="76"/>
  <c r="U25" i="76"/>
  <c r="AH27" i="76"/>
  <c r="AC27" i="76"/>
  <c r="G27" i="76"/>
  <c r="AI27" i="76"/>
  <c r="AB27" i="76"/>
  <c r="AI26" i="76"/>
  <c r="I26" i="76"/>
  <c r="T27" i="76"/>
  <c r="C26" i="76"/>
  <c r="T26" i="76"/>
  <c r="C27" i="76"/>
  <c r="N23" i="76" l="1"/>
  <c r="M23" i="76"/>
  <c r="M24" i="76"/>
  <c r="X24" i="76" s="1"/>
  <c r="N24" i="76"/>
  <c r="W24" i="76"/>
  <c r="R26" i="76"/>
  <c r="S26" i="76"/>
  <c r="S27" i="76"/>
  <c r="R27" i="76"/>
  <c r="AG28" i="76"/>
  <c r="M38" i="76" s="1"/>
  <c r="Z27" i="76"/>
  <c r="AA27" i="76" s="1"/>
  <c r="Z26" i="76"/>
  <c r="AA26" i="76" s="1"/>
  <c r="AC28" i="76"/>
  <c r="H38" i="76" s="1"/>
  <c r="AA25" i="76"/>
  <c r="V25" i="76"/>
  <c r="I28" i="76"/>
  <c r="J26" i="76"/>
  <c r="K26" i="76"/>
  <c r="J27" i="76"/>
  <c r="K27" i="76"/>
  <c r="H28" i="76"/>
  <c r="D28" i="76"/>
  <c r="C17" i="84"/>
  <c r="B18" i="84"/>
  <c r="H18" i="84" s="1"/>
  <c r="A19" i="84"/>
  <c r="L25" i="76"/>
  <c r="F26" i="76"/>
  <c r="F27" i="76"/>
  <c r="U26" i="76"/>
  <c r="U27" i="76"/>
  <c r="Y23" i="76" l="1"/>
  <c r="Y24" i="76"/>
  <c r="N25" i="76"/>
  <c r="M25" i="76"/>
  <c r="X25" i="76" s="1"/>
  <c r="X23" i="76"/>
  <c r="W25" i="76"/>
  <c r="V27" i="76"/>
  <c r="V26" i="76"/>
  <c r="AH28" i="76"/>
  <c r="M41" i="76" s="1"/>
  <c r="AD28" i="76"/>
  <c r="H41" i="76" s="1"/>
  <c r="J28" i="76"/>
  <c r="R28" i="76"/>
  <c r="H34" i="76" s="1"/>
  <c r="S28" i="76"/>
  <c r="M34" i="76" s="1"/>
  <c r="K28" i="76"/>
  <c r="C18" i="84"/>
  <c r="B19" i="84"/>
  <c r="H19" i="84" s="1"/>
  <c r="A20" i="84"/>
  <c r="A6" i="65"/>
  <c r="A7" i="65" s="1"/>
  <c r="L27" i="76"/>
  <c r="L26" i="76"/>
  <c r="Y25" i="76" l="1"/>
  <c r="M26" i="76"/>
  <c r="X26" i="76" s="1"/>
  <c r="N26" i="76"/>
  <c r="M27" i="76"/>
  <c r="X27" i="76" s="1"/>
  <c r="N27" i="76"/>
  <c r="W26" i="76"/>
  <c r="W27" i="76" s="1"/>
  <c r="W28" i="76" s="1"/>
  <c r="V28" i="76"/>
  <c r="B65" i="76" s="1"/>
  <c r="AF28" i="76"/>
  <c r="M37" i="76" s="1"/>
  <c r="AI28" i="76"/>
  <c r="M42" i="76" s="1"/>
  <c r="AB28" i="76"/>
  <c r="H37" i="76" s="1"/>
  <c r="AE28" i="76"/>
  <c r="H42" i="76" s="1"/>
  <c r="C69" i="91"/>
  <c r="G70" i="91" s="1" a="1"/>
  <c r="C68" i="91"/>
  <c r="G69" i="91" s="1" a="1"/>
  <c r="D73" i="82"/>
  <c r="F66" i="82"/>
  <c r="D66" i="82"/>
  <c r="A21" i="84"/>
  <c r="B20" i="84"/>
  <c r="H20" i="84" s="1"/>
  <c r="C19" i="84"/>
  <c r="B6" i="65"/>
  <c r="B7" i="65"/>
  <c r="A8" i="65"/>
  <c r="Y26" i="76" l="1"/>
  <c r="N28" i="76"/>
  <c r="D18" i="84" s="1"/>
  <c r="M28" i="76"/>
  <c r="Y27" i="76"/>
  <c r="C65" i="76"/>
  <c r="X28" i="76"/>
  <c r="B60" i="76" s="1"/>
  <c r="H7" i="84"/>
  <c r="H7" i="65"/>
  <c r="C20" i="84"/>
  <c r="A22" i="84"/>
  <c r="B21" i="84"/>
  <c r="H21" i="84" s="1"/>
  <c r="C7" i="65"/>
  <c r="C6" i="65"/>
  <c r="A9" i="65"/>
  <c r="B8" i="65"/>
  <c r="D15" i="84" l="1"/>
  <c r="D7" i="84"/>
  <c r="D16" i="84"/>
  <c r="D10" i="84"/>
  <c r="D6" i="84"/>
  <c r="Y28" i="76"/>
  <c r="B61" i="76" s="1"/>
  <c r="D11" i="84"/>
  <c r="D14" i="84"/>
  <c r="D8" i="84"/>
  <c r="D20" i="84"/>
  <c r="D12" i="84"/>
  <c r="D19" i="84"/>
  <c r="D13" i="84"/>
  <c r="D17" i="84"/>
  <c r="D9" i="84"/>
  <c r="C21" i="84"/>
  <c r="D21" i="84" s="1"/>
  <c r="A23" i="84"/>
  <c r="B22" i="84"/>
  <c r="H22" i="84" s="1"/>
  <c r="C8" i="65"/>
  <c r="A10" i="65"/>
  <c r="A11" i="65" s="1"/>
  <c r="B9" i="65"/>
  <c r="H9" i="65" s="1"/>
  <c r="C22" i="84" l="1"/>
  <c r="D22" i="84" s="1"/>
  <c r="B23" i="84"/>
  <c r="H23" i="84" s="1"/>
  <c r="A24" i="84"/>
  <c r="C9" i="65"/>
  <c r="B11" i="65"/>
  <c r="H11" i="65" s="1"/>
  <c r="A12" i="65"/>
  <c r="B10" i="65"/>
  <c r="H10" i="65" s="1"/>
  <c r="C23" i="84" l="1"/>
  <c r="D23" i="84" s="1"/>
  <c r="A25" i="84"/>
  <c r="B24" i="84"/>
  <c r="H24" i="84" s="1"/>
  <c r="C11" i="65"/>
  <c r="C10" i="65"/>
  <c r="B12" i="65"/>
  <c r="H12" i="65" s="1"/>
  <c r="A13" i="65"/>
  <c r="C24" i="84" l="1"/>
  <c r="D24" i="84" s="1"/>
  <c r="A26" i="84"/>
  <c r="B25" i="84"/>
  <c r="H25" i="84" s="1"/>
  <c r="C12" i="65"/>
  <c r="B13" i="65"/>
  <c r="H13" i="65" s="1"/>
  <c r="A14" i="65"/>
  <c r="B26" i="84" l="1"/>
  <c r="H26" i="84" s="1"/>
  <c r="A27" i="84"/>
  <c r="C25" i="84"/>
  <c r="D25" i="84" s="1"/>
  <c r="C13" i="65"/>
  <c r="B14" i="65"/>
  <c r="H14" i="65" s="1"/>
  <c r="A15" i="65"/>
  <c r="B27" i="84" l="1"/>
  <c r="H27" i="84" s="1"/>
  <c r="A28" i="84"/>
  <c r="C26" i="84"/>
  <c r="D26" i="84" s="1"/>
  <c r="C14" i="65"/>
  <c r="B15" i="65"/>
  <c r="H15" i="65" s="1"/>
  <c r="A16" i="65"/>
  <c r="B28" i="84" l="1"/>
  <c r="H28" i="84" s="1"/>
  <c r="A29" i="84"/>
  <c r="C27" i="84"/>
  <c r="D27" i="84" s="1"/>
  <c r="C15" i="65"/>
  <c r="B16" i="65"/>
  <c r="H16" i="65" s="1"/>
  <c r="A17" i="65"/>
  <c r="C28" i="84" l="1"/>
  <c r="D28" i="84" s="1"/>
  <c r="B29" i="84"/>
  <c r="H29" i="84" s="1"/>
  <c r="A30" i="84"/>
  <c r="C16" i="65"/>
  <c r="B17" i="65"/>
  <c r="H17" i="65" s="1"/>
  <c r="A18" i="65"/>
  <c r="C29" i="84" l="1"/>
  <c r="D29" i="84" s="1"/>
  <c r="B30" i="84"/>
  <c r="H30" i="84" s="1"/>
  <c r="A31" i="84"/>
  <c r="C17" i="65"/>
  <c r="A19" i="65"/>
  <c r="B18" i="65"/>
  <c r="H18" i="65" s="1"/>
  <c r="B31" i="84" l="1"/>
  <c r="H31" i="84" s="1"/>
  <c r="A32" i="84"/>
  <c r="C30" i="84"/>
  <c r="D30" i="84" s="1"/>
  <c r="C18" i="65"/>
  <c r="A20" i="65"/>
  <c r="B19" i="65"/>
  <c r="H19" i="65" s="1"/>
  <c r="C31" i="84" l="1"/>
  <c r="D31" i="84" s="1"/>
  <c r="A33" i="84"/>
  <c r="B32" i="84"/>
  <c r="H32" i="84" s="1"/>
  <c r="C19" i="65"/>
  <c r="A21" i="65"/>
  <c r="B20" i="65"/>
  <c r="H20" i="65" s="1"/>
  <c r="A34" i="84" l="1"/>
  <c r="B33" i="84"/>
  <c r="H33" i="84" s="1"/>
  <c r="C32" i="84"/>
  <c r="D32" i="84" s="1"/>
  <c r="C20" i="65"/>
  <c r="D20" i="65" s="1"/>
  <c r="A22" i="65"/>
  <c r="B21" i="65"/>
  <c r="H21" i="65" s="1"/>
  <c r="D12" i="65"/>
  <c r="D11" i="65"/>
  <c r="D13" i="65"/>
  <c r="D14" i="65"/>
  <c r="D15" i="65"/>
  <c r="D16" i="65"/>
  <c r="D17" i="65"/>
  <c r="D18" i="65"/>
  <c r="D19" i="65"/>
  <c r="D7" i="65"/>
  <c r="D6" i="65"/>
  <c r="D8" i="65"/>
  <c r="D9" i="65"/>
  <c r="D10" i="65"/>
  <c r="B34" i="84" l="1"/>
  <c r="H34" i="84" s="1"/>
  <c r="A35" i="84"/>
  <c r="C33" i="84"/>
  <c r="D33" i="84" s="1"/>
  <c r="C21" i="65"/>
  <c r="D21" i="65" s="1"/>
  <c r="B22" i="65"/>
  <c r="H22" i="65" s="1"/>
  <c r="A23" i="65"/>
  <c r="C34" i="84" l="1"/>
  <c r="D34" i="84" s="1"/>
  <c r="B35" i="84"/>
  <c r="H35" i="84" s="1"/>
  <c r="A36" i="84"/>
  <c r="C22" i="65"/>
  <c r="D22" i="65" s="1"/>
  <c r="B23" i="65"/>
  <c r="H23" i="65" s="1"/>
  <c r="A24" i="65"/>
  <c r="B36" i="84" l="1"/>
  <c r="H36" i="84" s="1"/>
  <c r="A37" i="84"/>
  <c r="C35" i="84"/>
  <c r="D35" i="84" s="1"/>
  <c r="C23" i="65"/>
  <c r="D23" i="65" s="1"/>
  <c r="B24" i="65"/>
  <c r="H24" i="65" s="1"/>
  <c r="A25" i="65"/>
  <c r="C36" i="84" l="1"/>
  <c r="D36" i="84" s="1"/>
  <c r="B37" i="84"/>
  <c r="H37" i="84" s="1"/>
  <c r="A38" i="84"/>
  <c r="C24" i="65"/>
  <c r="D24" i="65" s="1"/>
  <c r="A26" i="65"/>
  <c r="B25" i="65"/>
  <c r="H25" i="65" s="1"/>
  <c r="C37" i="84" l="1"/>
  <c r="D37" i="84" s="1"/>
  <c r="B38" i="84"/>
  <c r="H38" i="84" s="1"/>
  <c r="A39" i="84"/>
  <c r="C25" i="65"/>
  <c r="D25" i="65" s="1"/>
  <c r="B26" i="65"/>
  <c r="H26" i="65" s="1"/>
  <c r="A27" i="65"/>
  <c r="C38" i="84" l="1"/>
  <c r="D38" i="84" s="1"/>
  <c r="B39" i="84"/>
  <c r="H39" i="84" s="1"/>
  <c r="A40" i="84"/>
  <c r="C26" i="65"/>
  <c r="D26" i="65" s="1"/>
  <c r="B27" i="65"/>
  <c r="H27" i="65" s="1"/>
  <c r="A28" i="65"/>
  <c r="C39" i="84" l="1"/>
  <c r="D39" i="84" s="1"/>
  <c r="A41" i="84"/>
  <c r="B40" i="84"/>
  <c r="H40" i="84" s="1"/>
  <c r="C27" i="65"/>
  <c r="D27" i="65" s="1"/>
  <c r="B28" i="65"/>
  <c r="H28" i="65" s="1"/>
  <c r="A29" i="65"/>
  <c r="C40" i="84" l="1"/>
  <c r="D40" i="84" s="1"/>
  <c r="A42" i="84"/>
  <c r="B41" i="84"/>
  <c r="H41" i="84" s="1"/>
  <c r="C28" i="65"/>
  <c r="D28" i="65" s="1"/>
  <c r="B29" i="65"/>
  <c r="H29" i="65" s="1"/>
  <c r="A30" i="65"/>
  <c r="B42" i="84" l="1"/>
  <c r="H42" i="84" s="1"/>
  <c r="A43" i="84"/>
  <c r="C41" i="84"/>
  <c r="D41" i="84" s="1"/>
  <c r="C29" i="65"/>
  <c r="D29" i="65" s="1"/>
  <c r="A31" i="65"/>
  <c r="B30" i="65"/>
  <c r="H30" i="65" s="1"/>
  <c r="B43" i="84" l="1"/>
  <c r="H43" i="84" s="1"/>
  <c r="A44" i="84"/>
  <c r="C42" i="84"/>
  <c r="D42" i="84" s="1"/>
  <c r="C30" i="65"/>
  <c r="D30" i="65" s="1"/>
  <c r="A32" i="65"/>
  <c r="B31" i="65"/>
  <c r="H31" i="65" s="1"/>
  <c r="B44" i="84" l="1"/>
  <c r="H44" i="84" s="1"/>
  <c r="A45" i="84"/>
  <c r="C43" i="84"/>
  <c r="D43" i="84" s="1"/>
  <c r="C31" i="65"/>
  <c r="D31" i="65" s="1"/>
  <c r="A33" i="65"/>
  <c r="B32" i="65"/>
  <c r="H32" i="65" s="1"/>
  <c r="C44" i="84" l="1"/>
  <c r="D44" i="84" s="1"/>
  <c r="B45" i="84"/>
  <c r="H45" i="84" s="1"/>
  <c r="A46" i="84"/>
  <c r="C32" i="65"/>
  <c r="D32" i="65" s="1"/>
  <c r="B33" i="65"/>
  <c r="H33" i="65" s="1"/>
  <c r="A34" i="65"/>
  <c r="C45" i="84" l="1"/>
  <c r="D45" i="84" s="1"/>
  <c r="B46" i="84"/>
  <c r="H46" i="84" s="1"/>
  <c r="A47" i="84"/>
  <c r="C33" i="65"/>
  <c r="D33" i="65" s="1"/>
  <c r="B34" i="65"/>
  <c r="H34" i="65" s="1"/>
  <c r="A35" i="65"/>
  <c r="C46" i="84" l="1"/>
  <c r="D46" i="84" s="1"/>
  <c r="B47" i="84"/>
  <c r="H47" i="84" s="1"/>
  <c r="A48" i="84"/>
  <c r="C34" i="65"/>
  <c r="D34" i="65" s="1"/>
  <c r="B35" i="65"/>
  <c r="H35" i="65" s="1"/>
  <c r="A36" i="65"/>
  <c r="A49" i="84" l="1"/>
  <c r="B48" i="84"/>
  <c r="H48" i="84" s="1"/>
  <c r="C47" i="84"/>
  <c r="D47" i="84" s="1"/>
  <c r="C35" i="65"/>
  <c r="D35" i="65" s="1"/>
  <c r="B36" i="65"/>
  <c r="H36" i="65" s="1"/>
  <c r="A37" i="65"/>
  <c r="A50" i="84" l="1"/>
  <c r="B49" i="84"/>
  <c r="H49" i="84" s="1"/>
  <c r="C48" i="84"/>
  <c r="D48" i="84" s="1"/>
  <c r="C36" i="65"/>
  <c r="D36" i="65" s="1"/>
  <c r="B37" i="65"/>
  <c r="H37" i="65" s="1"/>
  <c r="A38" i="65"/>
  <c r="C49" i="84" l="1"/>
  <c r="D49" i="84" s="1"/>
  <c r="B50" i="84"/>
  <c r="H50" i="84" s="1"/>
  <c r="A51" i="84"/>
  <c r="C37" i="65"/>
  <c r="D37" i="65" s="1"/>
  <c r="B38" i="65"/>
  <c r="H38" i="65" s="1"/>
  <c r="A39" i="65"/>
  <c r="C50" i="84" l="1"/>
  <c r="D50" i="84" s="1"/>
  <c r="B51" i="84"/>
  <c r="H51" i="84" s="1"/>
  <c r="A52" i="84"/>
  <c r="C38" i="65"/>
  <c r="D38" i="65" s="1"/>
  <c r="B39" i="65"/>
  <c r="H39" i="65" s="1"/>
  <c r="A40" i="65"/>
  <c r="C51" i="84" l="1"/>
  <c r="D51" i="84" s="1"/>
  <c r="B52" i="84"/>
  <c r="H52" i="84" s="1"/>
  <c r="A53" i="84"/>
  <c r="C39" i="65"/>
  <c r="D39" i="65" s="1"/>
  <c r="B40" i="65"/>
  <c r="H40" i="65" s="1"/>
  <c r="A41" i="65"/>
  <c r="C52" i="84" l="1"/>
  <c r="D52" i="84" s="1"/>
  <c r="B53" i="84"/>
  <c r="H53" i="84" s="1"/>
  <c r="A54" i="84"/>
  <c r="C40" i="65"/>
  <c r="D40" i="65" s="1"/>
  <c r="B41" i="65"/>
  <c r="H41" i="65" s="1"/>
  <c r="A42" i="65"/>
  <c r="C53" i="84" l="1"/>
  <c r="D53" i="84" s="1"/>
  <c r="B54" i="84"/>
  <c r="H54" i="84" s="1"/>
  <c r="A55" i="84"/>
  <c r="C41" i="65"/>
  <c r="D41" i="65" s="1"/>
  <c r="B42" i="65"/>
  <c r="H42" i="65" s="1"/>
  <c r="A43" i="65"/>
  <c r="C54" i="84" l="1"/>
  <c r="D54" i="84" s="1"/>
  <c r="B55" i="84"/>
  <c r="H55" i="84" s="1"/>
  <c r="A56" i="84"/>
  <c r="C42" i="65"/>
  <c r="D42" i="65" s="1"/>
  <c r="B43" i="65"/>
  <c r="H43" i="65" s="1"/>
  <c r="A44" i="65"/>
  <c r="N36" i="84" l="1"/>
  <c r="O36" i="84"/>
  <c r="A57" i="84"/>
  <c r="B56" i="84"/>
  <c r="H56" i="84" s="1"/>
  <c r="C55" i="84"/>
  <c r="D55" i="84" s="1"/>
  <c r="C43" i="65"/>
  <c r="D43" i="65" s="1"/>
  <c r="B44" i="65"/>
  <c r="H44" i="65" s="1"/>
  <c r="A45" i="65"/>
  <c r="N37" i="84" l="1"/>
  <c r="O37" i="84"/>
  <c r="A58" i="84"/>
  <c r="B57" i="84"/>
  <c r="H57" i="84" s="1"/>
  <c r="C56" i="84"/>
  <c r="D56" i="84" s="1"/>
  <c r="C44" i="65"/>
  <c r="D44" i="65" s="1"/>
  <c r="B45" i="65"/>
  <c r="H45" i="65" s="1"/>
  <c r="A46" i="65"/>
  <c r="N38" i="84" l="1"/>
  <c r="O38" i="84"/>
  <c r="C57" i="84"/>
  <c r="D57" i="84" s="1"/>
  <c r="B58" i="84"/>
  <c r="H58" i="84" s="1"/>
  <c r="A59" i="84"/>
  <c r="C45" i="65"/>
  <c r="D45" i="65" s="1"/>
  <c r="A47" i="65"/>
  <c r="B46" i="65"/>
  <c r="H46" i="65" s="1"/>
  <c r="N39" i="84" l="1"/>
  <c r="O39" i="84"/>
  <c r="B59" i="84"/>
  <c r="H59" i="84" s="1"/>
  <c r="A60" i="84"/>
  <c r="C58" i="84"/>
  <c r="D58" i="84" s="1"/>
  <c r="C46" i="65"/>
  <c r="D46" i="65" s="1"/>
  <c r="A48" i="65"/>
  <c r="B47" i="65"/>
  <c r="H47" i="65" s="1"/>
  <c r="O40" i="84" l="1"/>
  <c r="N40" i="84"/>
  <c r="B60" i="84"/>
  <c r="H60" i="84" s="1"/>
  <c r="A61" i="84"/>
  <c r="C59" i="84"/>
  <c r="D59" i="84" s="1"/>
  <c r="C47" i="65"/>
  <c r="D47" i="65" s="1"/>
  <c r="A49" i="65"/>
  <c r="B48" i="65"/>
  <c r="H48" i="65" s="1"/>
  <c r="O41" i="84" l="1"/>
  <c r="N41" i="84"/>
  <c r="B61" i="84"/>
  <c r="H61" i="84" s="1"/>
  <c r="A62" i="84"/>
  <c r="C60" i="84"/>
  <c r="D60" i="84" s="1"/>
  <c r="C48" i="65"/>
  <c r="D48" i="65" s="1"/>
  <c r="B49" i="65"/>
  <c r="H49" i="65" s="1"/>
  <c r="A50" i="65"/>
  <c r="N42" i="84" l="1"/>
  <c r="O42" i="84"/>
  <c r="A63" i="84"/>
  <c r="B62" i="84"/>
  <c r="H62" i="84" s="1"/>
  <c r="C61" i="84"/>
  <c r="D61" i="84" s="1"/>
  <c r="C49" i="65"/>
  <c r="D49" i="65" s="1"/>
  <c r="B50" i="65"/>
  <c r="H50" i="65" s="1"/>
  <c r="A51" i="65"/>
  <c r="O43" i="84" l="1"/>
  <c r="N43" i="84"/>
  <c r="B63" i="84"/>
  <c r="H63" i="84" s="1"/>
  <c r="A64" i="84"/>
  <c r="C62" i="84"/>
  <c r="D62" i="84" s="1"/>
  <c r="C50" i="65"/>
  <c r="D50" i="65" s="1"/>
  <c r="B51" i="65"/>
  <c r="H51" i="65" s="1"/>
  <c r="A52" i="65"/>
  <c r="N44" i="84" l="1"/>
  <c r="O44" i="84"/>
  <c r="B64" i="84"/>
  <c r="H64" i="84" s="1"/>
  <c r="A65" i="84"/>
  <c r="C63" i="84"/>
  <c r="D63" i="84" s="1"/>
  <c r="C51" i="65"/>
  <c r="D51" i="65" s="1"/>
  <c r="A53" i="65"/>
  <c r="B52" i="65"/>
  <c r="H52" i="65" s="1"/>
  <c r="O45" i="84" l="1"/>
  <c r="N45" i="84"/>
  <c r="A66" i="84"/>
  <c r="B65" i="84"/>
  <c r="H65" i="84" s="1"/>
  <c r="C64" i="84"/>
  <c r="D64" i="84" s="1"/>
  <c r="C52" i="65"/>
  <c r="D52" i="65" s="1"/>
  <c r="A54" i="65"/>
  <c r="B53" i="65"/>
  <c r="H53" i="65" s="1"/>
  <c r="N46" i="84" l="1"/>
  <c r="O46" i="84"/>
  <c r="A67" i="84"/>
  <c r="B66" i="84"/>
  <c r="H66" i="84" s="1"/>
  <c r="C65" i="84"/>
  <c r="D65" i="84" s="1"/>
  <c r="C53" i="65"/>
  <c r="D53" i="65" s="1"/>
  <c r="B54" i="65"/>
  <c r="H54" i="65" s="1"/>
  <c r="A55" i="65"/>
  <c r="O47" i="84" l="1"/>
  <c r="N47" i="84"/>
  <c r="A68" i="84"/>
  <c r="B67" i="84"/>
  <c r="H67" i="84" s="1"/>
  <c r="C66" i="84"/>
  <c r="D66" i="84" s="1"/>
  <c r="C54" i="65"/>
  <c r="D54" i="65" s="1"/>
  <c r="B55" i="65"/>
  <c r="H55" i="65" s="1"/>
  <c r="A56" i="65"/>
  <c r="N48" i="84" l="1"/>
  <c r="O48" i="84"/>
  <c r="C67" i="84"/>
  <c r="D67" i="84" s="1"/>
  <c r="B68" i="84"/>
  <c r="H68" i="84" s="1"/>
  <c r="A69" i="84"/>
  <c r="C55" i="65"/>
  <c r="D55" i="65" s="1"/>
  <c r="B56" i="65"/>
  <c r="H56" i="65" s="1"/>
  <c r="A57" i="65"/>
  <c r="N49" i="84" l="1"/>
  <c r="O49" i="84"/>
  <c r="B69" i="84"/>
  <c r="H69" i="84" s="1"/>
  <c r="A70" i="84"/>
  <c r="C68" i="84"/>
  <c r="D68" i="84" s="1"/>
  <c r="C56" i="65"/>
  <c r="D56" i="65" s="1"/>
  <c r="A58" i="65"/>
  <c r="B57" i="65"/>
  <c r="H57" i="65" s="1"/>
  <c r="O50" i="84" l="1"/>
  <c r="N50" i="84"/>
  <c r="B70" i="84"/>
  <c r="H70" i="84" s="1"/>
  <c r="A71" i="84"/>
  <c r="C69" i="84"/>
  <c r="D69" i="84" s="1"/>
  <c r="C57" i="65"/>
  <c r="D57" i="65" s="1"/>
  <c r="B58" i="65"/>
  <c r="H58" i="65" s="1"/>
  <c r="A59" i="65"/>
  <c r="O51" i="84" l="1"/>
  <c r="N51" i="84"/>
  <c r="C70" i="84"/>
  <c r="D70" i="84" s="1"/>
  <c r="B71" i="84"/>
  <c r="H71" i="84" s="1"/>
  <c r="A72" i="84"/>
  <c r="C58" i="65"/>
  <c r="D58" i="65" s="1"/>
  <c r="B59" i="65"/>
  <c r="H59" i="65" s="1"/>
  <c r="A60" i="65"/>
  <c r="N52" i="84" l="1"/>
  <c r="O52" i="84"/>
  <c r="B72" i="84"/>
  <c r="H72" i="84" s="1"/>
  <c r="A73" i="84"/>
  <c r="C71" i="84"/>
  <c r="D71" i="84" s="1"/>
  <c r="C59" i="65"/>
  <c r="D59" i="65" s="1"/>
  <c r="B60" i="65"/>
  <c r="H60" i="65" s="1"/>
  <c r="A61" i="65"/>
  <c r="O53" i="84" l="1"/>
  <c r="N53" i="84"/>
  <c r="B73" i="84"/>
  <c r="H73" i="84" s="1"/>
  <c r="A74" i="84"/>
  <c r="C72" i="84"/>
  <c r="D72" i="84" s="1"/>
  <c r="C60" i="65"/>
  <c r="D60" i="65" s="1"/>
  <c r="B61" i="65"/>
  <c r="H61" i="65" s="1"/>
  <c r="A62" i="65"/>
  <c r="N54" i="84" l="1"/>
  <c r="O54" i="84"/>
  <c r="C73" i="84"/>
  <c r="D73" i="84" s="1"/>
  <c r="A75" i="84"/>
  <c r="B74" i="84"/>
  <c r="H74" i="84" s="1"/>
  <c r="C61" i="65"/>
  <c r="D61" i="65" s="1"/>
  <c r="B62" i="65"/>
  <c r="H62" i="65" s="1"/>
  <c r="A63" i="65"/>
  <c r="O55" i="84" l="1"/>
  <c r="N55" i="84"/>
  <c r="C74" i="84"/>
  <c r="D74" i="84" s="1"/>
  <c r="A76" i="84"/>
  <c r="B75" i="84"/>
  <c r="H75" i="84" s="1"/>
  <c r="C62" i="65"/>
  <c r="D62" i="65" s="1"/>
  <c r="B63" i="65"/>
  <c r="H63" i="65" s="1"/>
  <c r="A64" i="65"/>
  <c r="N56" i="84" l="1"/>
  <c r="O56" i="84"/>
  <c r="C75" i="84"/>
  <c r="D75" i="84" s="1"/>
  <c r="B76" i="84"/>
  <c r="H76" i="84" s="1"/>
  <c r="A77" i="84"/>
  <c r="C63" i="65"/>
  <c r="D63" i="65" s="1"/>
  <c r="A65" i="65"/>
  <c r="B64" i="65"/>
  <c r="H64" i="65" s="1"/>
  <c r="O57" i="84" l="1"/>
  <c r="N57" i="84"/>
  <c r="B77" i="84"/>
  <c r="H77" i="84" s="1"/>
  <c r="A78" i="84"/>
  <c r="C76" i="84"/>
  <c r="D76" i="84" s="1"/>
  <c r="C64" i="65"/>
  <c r="D64" i="65" s="1"/>
  <c r="A66" i="65"/>
  <c r="B65" i="65"/>
  <c r="H65" i="65" s="1"/>
  <c r="N58" i="84" l="1"/>
  <c r="O58" i="84"/>
  <c r="B78" i="84"/>
  <c r="H78" i="84" s="1"/>
  <c r="A79" i="84"/>
  <c r="C77" i="84"/>
  <c r="D77" i="84" s="1"/>
  <c r="C65" i="65"/>
  <c r="D65" i="65" s="1"/>
  <c r="A67" i="65"/>
  <c r="B66" i="65"/>
  <c r="H66" i="65" s="1"/>
  <c r="N59" i="84" l="1"/>
  <c r="O59" i="84"/>
  <c r="B79" i="84"/>
  <c r="H79" i="84" s="1"/>
  <c r="A80" i="84"/>
  <c r="C78" i="84"/>
  <c r="D78" i="84" s="1"/>
  <c r="C66" i="65"/>
  <c r="D66" i="65" s="1"/>
  <c r="B67" i="65"/>
  <c r="H67" i="65" s="1"/>
  <c r="A68" i="65"/>
  <c r="O60" i="84" l="1"/>
  <c r="N60" i="84"/>
  <c r="C79" i="84"/>
  <c r="D79" i="84" s="1"/>
  <c r="B80" i="84"/>
  <c r="H80" i="84" s="1"/>
  <c r="A81" i="84"/>
  <c r="C67" i="65"/>
  <c r="D67" i="65" s="1"/>
  <c r="B68" i="65"/>
  <c r="H68" i="65" s="1"/>
  <c r="A69" i="65"/>
  <c r="O36" i="65"/>
  <c r="N36" i="65"/>
  <c r="N61" i="84" l="1"/>
  <c r="O61" i="84"/>
  <c r="C80" i="84"/>
  <c r="D80" i="84" s="1"/>
  <c r="B81" i="84"/>
  <c r="H81" i="84" s="1"/>
  <c r="A82" i="84"/>
  <c r="C68" i="65"/>
  <c r="D68" i="65" s="1"/>
  <c r="B69" i="65"/>
  <c r="H69" i="65" s="1"/>
  <c r="A70" i="65"/>
  <c r="N37" i="65"/>
  <c r="O37" i="65"/>
  <c r="O62" i="84" l="1"/>
  <c r="N62" i="84"/>
  <c r="C81" i="84"/>
  <c r="D81" i="84" s="1"/>
  <c r="A83" i="84"/>
  <c r="B82" i="84"/>
  <c r="H82" i="84" s="1"/>
  <c r="C69" i="65"/>
  <c r="D69" i="65" s="1"/>
  <c r="A71" i="65"/>
  <c r="B70" i="65"/>
  <c r="H70" i="65" s="1"/>
  <c r="N38" i="65"/>
  <c r="O38" i="65"/>
  <c r="O63" i="84" l="1"/>
  <c r="N63" i="84"/>
  <c r="C82" i="84"/>
  <c r="D82" i="84" s="1"/>
  <c r="A84" i="84"/>
  <c r="B83" i="84"/>
  <c r="H83" i="84" s="1"/>
  <c r="C70" i="65"/>
  <c r="D70" i="65" s="1"/>
  <c r="A72" i="65"/>
  <c r="B71" i="65"/>
  <c r="H71" i="65" s="1"/>
  <c r="O39" i="65"/>
  <c r="N39" i="65"/>
  <c r="O64" i="84" l="1"/>
  <c r="N64" i="84"/>
  <c r="C83" i="84"/>
  <c r="D83" i="84" s="1"/>
  <c r="B84" i="84"/>
  <c r="H84" i="84" s="1"/>
  <c r="A85" i="84"/>
  <c r="C71" i="65"/>
  <c r="D71" i="65" s="1"/>
  <c r="B72" i="65"/>
  <c r="H72" i="65" s="1"/>
  <c r="A73" i="65"/>
  <c r="N40" i="65"/>
  <c r="O40" i="65"/>
  <c r="N65" i="84" l="1"/>
  <c r="O65" i="84"/>
  <c r="B85" i="84"/>
  <c r="H85" i="84" s="1"/>
  <c r="A86" i="84"/>
  <c r="C84" i="84"/>
  <c r="D84" i="84" s="1"/>
  <c r="C72" i="65"/>
  <c r="D72" i="65" s="1"/>
  <c r="B73" i="65"/>
  <c r="H73" i="65" s="1"/>
  <c r="A74" i="65"/>
  <c r="O41" i="65"/>
  <c r="N41" i="65"/>
  <c r="N66" i="84" l="1"/>
  <c r="O66" i="84"/>
  <c r="B86" i="84"/>
  <c r="H86" i="84" s="1"/>
  <c r="A87" i="84"/>
  <c r="C85" i="84"/>
  <c r="D85" i="84" s="1"/>
  <c r="C73" i="65"/>
  <c r="D73" i="65" s="1"/>
  <c r="B74" i="65"/>
  <c r="H74" i="65" s="1"/>
  <c r="A75" i="65"/>
  <c r="N42" i="65"/>
  <c r="O42" i="65"/>
  <c r="N67" i="84" l="1"/>
  <c r="O67" i="84"/>
  <c r="B87" i="84"/>
  <c r="H87" i="84" s="1"/>
  <c r="A88" i="84"/>
  <c r="C86" i="84"/>
  <c r="D86" i="84" s="1"/>
  <c r="C74" i="65"/>
  <c r="D74" i="65" s="1"/>
  <c r="B75" i="65"/>
  <c r="H75" i="65" s="1"/>
  <c r="A76" i="65"/>
  <c r="O43" i="65"/>
  <c r="N43" i="65"/>
  <c r="N68" i="84" l="1"/>
  <c r="O68" i="84"/>
  <c r="B88" i="84"/>
  <c r="H88" i="84" s="1"/>
  <c r="A89" i="84"/>
  <c r="C87" i="84"/>
  <c r="D87" i="84" s="1"/>
  <c r="C75" i="65"/>
  <c r="D75" i="65" s="1"/>
  <c r="A77" i="65"/>
  <c r="B76" i="65"/>
  <c r="H76" i="65" s="1"/>
  <c r="O44" i="65"/>
  <c r="N44" i="65"/>
  <c r="N69" i="84" l="1"/>
  <c r="O69" i="84"/>
  <c r="B89" i="84"/>
  <c r="H89" i="84" s="1"/>
  <c r="A90" i="84"/>
  <c r="C88" i="84"/>
  <c r="D88" i="84" s="1"/>
  <c r="C76" i="65"/>
  <c r="D76" i="65" s="1"/>
  <c r="A78" i="65"/>
  <c r="B77" i="65"/>
  <c r="H77" i="65" s="1"/>
  <c r="N45" i="65"/>
  <c r="O45" i="65"/>
  <c r="O70" i="84" l="1"/>
  <c r="N70" i="84"/>
  <c r="A91" i="84"/>
  <c r="B90" i="84"/>
  <c r="H90" i="84" s="1"/>
  <c r="C89" i="84"/>
  <c r="D89" i="84" s="1"/>
  <c r="C77" i="65"/>
  <c r="D77" i="65" s="1"/>
  <c r="B78" i="65"/>
  <c r="H78" i="65" s="1"/>
  <c r="A79" i="65"/>
  <c r="N46" i="65"/>
  <c r="O46" i="65"/>
  <c r="O71" i="84" l="1"/>
  <c r="N71" i="84"/>
  <c r="A92" i="84"/>
  <c r="B91" i="84"/>
  <c r="H91" i="84" s="1"/>
  <c r="C90" i="84"/>
  <c r="D90" i="84" s="1"/>
  <c r="C78" i="65"/>
  <c r="D78" i="65" s="1"/>
  <c r="B79" i="65"/>
  <c r="H79" i="65" s="1"/>
  <c r="A80" i="65"/>
  <c r="O47" i="65"/>
  <c r="N47" i="65"/>
  <c r="O72" i="84" l="1"/>
  <c r="N72" i="84"/>
  <c r="C91" i="84"/>
  <c r="D91" i="84" s="1"/>
  <c r="B92" i="84"/>
  <c r="H92" i="84" s="1"/>
  <c r="A93" i="84"/>
  <c r="C79" i="65"/>
  <c r="D79" i="65" s="1"/>
  <c r="A81" i="65"/>
  <c r="B80" i="65"/>
  <c r="H80" i="65" s="1"/>
  <c r="N48" i="65"/>
  <c r="O48" i="65"/>
  <c r="O73" i="84" l="1"/>
  <c r="N73" i="84"/>
  <c r="B93" i="84"/>
  <c r="H93" i="84" s="1"/>
  <c r="A94" i="84"/>
  <c r="C92" i="84"/>
  <c r="D92" i="84" s="1"/>
  <c r="C80" i="65"/>
  <c r="D80" i="65" s="1"/>
  <c r="B81" i="65"/>
  <c r="H81" i="65" s="1"/>
  <c r="A82" i="65"/>
  <c r="N49" i="65"/>
  <c r="O49" i="65"/>
  <c r="N74" i="84" l="1"/>
  <c r="O74" i="84"/>
  <c r="C93" i="84"/>
  <c r="D93" i="84" s="1"/>
  <c r="B94" i="84"/>
  <c r="H94" i="84" s="1"/>
  <c r="A95" i="84"/>
  <c r="C81" i="65"/>
  <c r="D81" i="65" s="1"/>
  <c r="A83" i="65"/>
  <c r="B82" i="65"/>
  <c r="H82" i="65" s="1"/>
  <c r="O50" i="65"/>
  <c r="N50" i="65"/>
  <c r="O75" i="84" l="1"/>
  <c r="N75" i="84"/>
  <c r="B95" i="84"/>
  <c r="H95" i="84" s="1"/>
  <c r="A96" i="84"/>
  <c r="C94" i="84"/>
  <c r="D94" i="84" s="1"/>
  <c r="C82" i="65"/>
  <c r="D82" i="65" s="1"/>
  <c r="A84" i="65"/>
  <c r="B83" i="65"/>
  <c r="H83" i="65" s="1"/>
  <c r="N51" i="65"/>
  <c r="O51" i="65"/>
  <c r="N76" i="84" l="1"/>
  <c r="O76" i="84"/>
  <c r="B96" i="84"/>
  <c r="H96" i="84" s="1"/>
  <c r="A97" i="84"/>
  <c r="C95" i="84"/>
  <c r="D95" i="84" s="1"/>
  <c r="C83" i="65"/>
  <c r="D83" i="65" s="1"/>
  <c r="A85" i="65"/>
  <c r="B84" i="65"/>
  <c r="H84" i="65" s="1"/>
  <c r="N52" i="65"/>
  <c r="O52" i="65"/>
  <c r="O77" i="84" l="1"/>
  <c r="N77" i="84"/>
  <c r="B97" i="84"/>
  <c r="H97" i="84" s="1"/>
  <c r="A98" i="84"/>
  <c r="C96" i="84"/>
  <c r="D96" i="84" s="1"/>
  <c r="C84" i="65"/>
  <c r="D84" i="65" s="1"/>
  <c r="A86" i="65"/>
  <c r="B85" i="65"/>
  <c r="H85" i="65" s="1"/>
  <c r="N53" i="65"/>
  <c r="O53" i="65"/>
  <c r="O78" i="84" l="1"/>
  <c r="N78" i="84"/>
  <c r="A99" i="84"/>
  <c r="B98" i="84"/>
  <c r="H98" i="84" s="1"/>
  <c r="C97" i="84"/>
  <c r="D97" i="84" s="1"/>
  <c r="C85" i="65"/>
  <c r="D85" i="65" s="1"/>
  <c r="B86" i="65"/>
  <c r="H86" i="65" s="1"/>
  <c r="A87" i="65"/>
  <c r="N54" i="65"/>
  <c r="O54" i="65"/>
  <c r="O79" i="84" l="1"/>
  <c r="N79" i="84"/>
  <c r="A100" i="84"/>
  <c r="B99" i="84"/>
  <c r="H99" i="84" s="1"/>
  <c r="C98" i="84"/>
  <c r="D98" i="84" s="1"/>
  <c r="C86" i="65"/>
  <c r="D86" i="65" s="1"/>
  <c r="B87" i="65"/>
  <c r="H87" i="65" s="1"/>
  <c r="A88" i="65"/>
  <c r="N55" i="65"/>
  <c r="O55" i="65"/>
  <c r="N80" i="84" l="1"/>
  <c r="O80" i="84"/>
  <c r="B100" i="84"/>
  <c r="H100" i="84" s="1"/>
  <c r="A101" i="84"/>
  <c r="C99" i="84"/>
  <c r="D99" i="84" s="1"/>
  <c r="C87" i="65"/>
  <c r="D87" i="65" s="1"/>
  <c r="A89" i="65"/>
  <c r="B88" i="65"/>
  <c r="H88" i="65" s="1"/>
  <c r="O56" i="65"/>
  <c r="N56" i="65"/>
  <c r="N81" i="84" l="1"/>
  <c r="O81" i="84"/>
  <c r="B101" i="84"/>
  <c r="H101" i="84" s="1"/>
  <c r="A102" i="84"/>
  <c r="C100" i="84"/>
  <c r="D100" i="84" s="1"/>
  <c r="C88" i="65"/>
  <c r="D88" i="65" s="1"/>
  <c r="B89" i="65"/>
  <c r="H89" i="65" s="1"/>
  <c r="A90" i="65"/>
  <c r="N57" i="65"/>
  <c r="O57" i="65"/>
  <c r="O82" i="84" l="1"/>
  <c r="N82" i="84"/>
  <c r="B102" i="84"/>
  <c r="H102" i="84" s="1"/>
  <c r="A103" i="84"/>
  <c r="C101" i="84"/>
  <c r="D101" i="84" s="1"/>
  <c r="C89" i="65"/>
  <c r="D89" i="65" s="1"/>
  <c r="A91" i="65"/>
  <c r="B90" i="65"/>
  <c r="H90" i="65" s="1"/>
  <c r="N58" i="65"/>
  <c r="O58" i="65"/>
  <c r="N83" i="84" l="1"/>
  <c r="O83" i="84"/>
  <c r="B103" i="84"/>
  <c r="H103" i="84" s="1"/>
  <c r="A104" i="84"/>
  <c r="C102" i="84"/>
  <c r="D102" i="84" s="1"/>
  <c r="C90" i="65"/>
  <c r="D90" i="65" s="1"/>
  <c r="A92" i="65"/>
  <c r="B91" i="65"/>
  <c r="H91" i="65" s="1"/>
  <c r="N59" i="65"/>
  <c r="O59" i="65"/>
  <c r="N84" i="84" l="1"/>
  <c r="O84" i="84"/>
  <c r="B104" i="84"/>
  <c r="H104" i="84" s="1"/>
  <c r="A105" i="84"/>
  <c r="B105" i="84" s="1"/>
  <c r="H105" i="84" s="1"/>
  <c r="C103" i="84"/>
  <c r="D103" i="84" s="1"/>
  <c r="C91" i="65"/>
  <c r="D91" i="65" s="1"/>
  <c r="B92" i="65"/>
  <c r="H92" i="65" s="1"/>
  <c r="A93" i="65"/>
  <c r="N60" i="65"/>
  <c r="O60" i="65"/>
  <c r="N85" i="84" l="1"/>
  <c r="O85" i="84"/>
  <c r="C105" i="84"/>
  <c r="D105" i="84" s="1"/>
  <c r="C104" i="84"/>
  <c r="D104" i="84" s="1"/>
  <c r="C92" i="65"/>
  <c r="D92" i="65" s="1"/>
  <c r="B93" i="65"/>
  <c r="H93" i="65" s="1"/>
  <c r="A94" i="65"/>
  <c r="N61" i="65"/>
  <c r="O61" i="65"/>
  <c r="O86" i="84" l="1"/>
  <c r="N86" i="84"/>
  <c r="D4" i="84"/>
  <c r="C93" i="65"/>
  <c r="D93" i="65" s="1"/>
  <c r="B94" i="65"/>
  <c r="H94" i="65" s="1"/>
  <c r="A95" i="65"/>
  <c r="O62" i="65"/>
  <c r="N62" i="65"/>
  <c r="N87" i="84" l="1"/>
  <c r="O87" i="84"/>
  <c r="C94" i="65"/>
  <c r="D94" i="65" s="1"/>
  <c r="A96" i="65"/>
  <c r="B95" i="65"/>
  <c r="H95" i="65" s="1"/>
  <c r="N63" i="65"/>
  <c r="O63" i="65"/>
  <c r="O88" i="84" l="1"/>
  <c r="N88" i="84"/>
  <c r="C95" i="65"/>
  <c r="D95" i="65" s="1"/>
  <c r="A97" i="65"/>
  <c r="B96" i="65"/>
  <c r="H96" i="65" s="1"/>
  <c r="O64" i="65"/>
  <c r="N64" i="65"/>
  <c r="O89" i="84" l="1"/>
  <c r="N89" i="84"/>
  <c r="C96" i="65"/>
  <c r="D96" i="65" s="1"/>
  <c r="B97" i="65"/>
  <c r="H97" i="65" s="1"/>
  <c r="A98" i="65"/>
  <c r="N65" i="65"/>
  <c r="O65" i="65"/>
  <c r="N90" i="84" l="1"/>
  <c r="O90" i="84"/>
  <c r="C97" i="65"/>
  <c r="D97" i="65" s="1"/>
  <c r="A99" i="65"/>
  <c r="B98" i="65"/>
  <c r="H98" i="65" s="1"/>
  <c r="N66" i="65"/>
  <c r="O66" i="65"/>
  <c r="O91" i="84" l="1"/>
  <c r="N91" i="84"/>
  <c r="C98" i="65"/>
  <c r="D98" i="65" s="1"/>
  <c r="B99" i="65"/>
  <c r="H99" i="65" s="1"/>
  <c r="A100" i="65"/>
  <c r="N67" i="65"/>
  <c r="O67" i="65"/>
  <c r="N92" i="84" l="1"/>
  <c r="O92" i="84"/>
  <c r="C99" i="65"/>
  <c r="D99" i="65" s="1"/>
  <c r="B100" i="65"/>
  <c r="H100" i="65" s="1"/>
  <c r="A101" i="65"/>
  <c r="O68" i="65"/>
  <c r="N68" i="65"/>
  <c r="O93" i="84" l="1"/>
  <c r="N93" i="84"/>
  <c r="C100" i="65"/>
  <c r="D100" i="65" s="1"/>
  <c r="A102" i="65"/>
  <c r="B101" i="65"/>
  <c r="H101" i="65" s="1"/>
  <c r="O69" i="65"/>
  <c r="N69" i="65"/>
  <c r="O94" i="84" l="1"/>
  <c r="N94" i="84"/>
  <c r="C101" i="65"/>
  <c r="D101" i="65" s="1"/>
  <c r="A103" i="65"/>
  <c r="B102" i="65"/>
  <c r="H102" i="65" s="1"/>
  <c r="N70" i="65"/>
  <c r="O70" i="65"/>
  <c r="O95" i="84" l="1"/>
  <c r="N95" i="84"/>
  <c r="C102" i="65"/>
  <c r="D102" i="65" s="1"/>
  <c r="B103" i="65"/>
  <c r="H103" i="65" s="1"/>
  <c r="A104" i="65"/>
  <c r="N71" i="65"/>
  <c r="O71" i="65"/>
  <c r="O96" i="84" l="1"/>
  <c r="N96" i="84"/>
  <c r="C103" i="65"/>
  <c r="D103" i="65" s="1"/>
  <c r="B104" i="65"/>
  <c r="H104" i="65" s="1"/>
  <c r="A105" i="65"/>
  <c r="N72" i="65"/>
  <c r="O72" i="65"/>
  <c r="N97" i="84" l="1"/>
  <c r="O97" i="84"/>
  <c r="C104" i="65"/>
  <c r="D104" i="65" s="1"/>
  <c r="B105" i="65"/>
  <c r="H105" i="65" s="1"/>
  <c r="N73" i="65"/>
  <c r="O73" i="65"/>
  <c r="O98" i="84" l="1"/>
  <c r="N98" i="84"/>
  <c r="C105" i="65"/>
  <c r="D105" i="65" s="1"/>
  <c r="N74" i="65"/>
  <c r="O74" i="65"/>
  <c r="N99" i="84" l="1"/>
  <c r="O99" i="84"/>
  <c r="D4" i="65"/>
  <c r="N75" i="65"/>
  <c r="O75" i="65"/>
  <c r="N100" i="84" l="1"/>
  <c r="O100" i="84"/>
  <c r="N76" i="65"/>
  <c r="O76" i="65"/>
  <c r="N101" i="84" l="1"/>
  <c r="O101" i="84"/>
  <c r="O77" i="65"/>
  <c r="N77" i="65"/>
  <c r="N102" i="84" l="1"/>
  <c r="O102" i="84"/>
  <c r="O78" i="65"/>
  <c r="N78" i="65"/>
  <c r="N103" i="84" l="1"/>
  <c r="O103" i="84"/>
  <c r="N79" i="65"/>
  <c r="O79" i="65"/>
  <c r="O104" i="84" l="1"/>
  <c r="N104" i="84"/>
  <c r="N80" i="65"/>
  <c r="O80" i="65"/>
  <c r="N81" i="65" l="1"/>
  <c r="O81" i="65"/>
  <c r="N82" i="65" l="1"/>
  <c r="O82" i="65"/>
  <c r="N105" i="84" l="1"/>
  <c r="O105" i="84"/>
  <c r="N83" i="65"/>
  <c r="O83" i="65"/>
  <c r="N84" i="65" l="1"/>
  <c r="O84" i="65"/>
  <c r="O85" i="65" l="1"/>
  <c r="N85" i="65"/>
  <c r="O86" i="65" l="1"/>
  <c r="N86" i="65"/>
  <c r="N87" i="65" l="1"/>
  <c r="O87" i="65"/>
  <c r="N88" i="65" l="1"/>
  <c r="O88" i="65"/>
  <c r="O89" i="65" l="1"/>
  <c r="N89" i="65"/>
  <c r="N90" i="65" l="1"/>
  <c r="O90" i="65"/>
  <c r="O91" i="65" l="1"/>
  <c r="N91" i="65"/>
  <c r="N92" i="65" l="1"/>
  <c r="O92" i="65"/>
  <c r="N93" i="65" l="1"/>
  <c r="O93" i="65"/>
  <c r="N94" i="65" l="1"/>
  <c r="O94" i="65"/>
  <c r="O95" i="65" l="1"/>
  <c r="N95" i="65"/>
  <c r="O96" i="65" l="1"/>
  <c r="N96" i="65"/>
  <c r="O97" i="65" l="1"/>
  <c r="N97" i="65"/>
  <c r="O98" i="65" l="1"/>
  <c r="N98" i="65"/>
  <c r="O99" i="65" l="1"/>
  <c r="N99" i="65"/>
  <c r="N100" i="65" l="1"/>
  <c r="O100" i="65"/>
  <c r="O101" i="65" l="1"/>
  <c r="N101" i="65"/>
  <c r="O102" i="65" l="1"/>
  <c r="N102" i="65"/>
  <c r="O103" i="65" l="1"/>
  <c r="N103" i="65"/>
  <c r="O104" i="65" l="1"/>
  <c r="N104" i="65"/>
  <c r="O105" i="65" l="1"/>
  <c r="N105" i="65"/>
  <c r="C47" i="82"/>
  <c r="L10" i="82" l="1"/>
  <c r="J74" i="82"/>
  <c r="J75" i="82"/>
  <c r="D60" i="82"/>
  <c r="D48" i="76" s="1"/>
  <c r="G50" i="91"/>
  <c r="D50" i="91" s="1"/>
  <c r="D62" i="82"/>
  <c r="I34" i="84" s="1"/>
  <c r="G54" i="91"/>
  <c r="D54" i="91" s="1"/>
  <c r="D52" i="82" s="1"/>
  <c r="G48" i="91"/>
  <c r="D48" i="91" s="1"/>
  <c r="G56" i="91"/>
  <c r="D56" i="91" s="1"/>
  <c r="D54" i="82" s="1"/>
  <c r="I74" i="82"/>
  <c r="D59" i="82"/>
  <c r="G52" i="91"/>
  <c r="D52" i="91" s="1"/>
  <c r="D50" i="82" s="1"/>
  <c r="H61" i="82"/>
  <c r="H62" i="82"/>
  <c r="I73" i="82"/>
  <c r="H59" i="82"/>
  <c r="G51" i="91"/>
  <c r="F52" i="91" s="1"/>
  <c r="H50" i="82" s="1"/>
  <c r="J50" i="76" s="1"/>
  <c r="H60" i="82"/>
  <c r="J76" i="82"/>
  <c r="I76" i="82"/>
  <c r="E60" i="82"/>
  <c r="E59" i="82"/>
  <c r="G53" i="91"/>
  <c r="D53" i="91" s="1"/>
  <c r="D51" i="82" s="1"/>
  <c r="J73" i="82"/>
  <c r="F73" i="82" s="1"/>
  <c r="G55" i="91"/>
  <c r="D55" i="91" s="1"/>
  <c r="D53" i="82" s="1"/>
  <c r="I75" i="82"/>
  <c r="D61" i="82"/>
  <c r="E96" i="65" s="1"/>
  <c r="C46" i="82"/>
  <c r="G49" i="91"/>
  <c r="F48" i="91" s="1"/>
  <c r="D74" i="82" l="1"/>
  <c r="H46" i="82"/>
  <c r="I105" i="84"/>
  <c r="F75" i="82"/>
  <c r="B66" i="76"/>
  <c r="B67" i="76"/>
  <c r="I15" i="84"/>
  <c r="I43" i="84"/>
  <c r="I68" i="65"/>
  <c r="I62" i="84"/>
  <c r="I24" i="84"/>
  <c r="I17" i="65"/>
  <c r="I46" i="84"/>
  <c r="I59" i="84"/>
  <c r="I27" i="65"/>
  <c r="I92" i="84"/>
  <c r="I67" i="65"/>
  <c r="I35" i="84"/>
  <c r="I11" i="84"/>
  <c r="I47" i="65"/>
  <c r="D55" i="82"/>
  <c r="D50" i="76" s="1"/>
  <c r="I99" i="65"/>
  <c r="I103" i="84"/>
  <c r="I45" i="65"/>
  <c r="I11" i="65"/>
  <c r="I96" i="65"/>
  <c r="I10" i="84"/>
  <c r="I60" i="84"/>
  <c r="I93" i="65"/>
  <c r="I32" i="84"/>
  <c r="D76" i="82"/>
  <c r="I26" i="84"/>
  <c r="I51" i="65"/>
  <c r="I101" i="65"/>
  <c r="I70" i="65"/>
  <c r="I100" i="84"/>
  <c r="I74" i="65"/>
  <c r="I82" i="84"/>
  <c r="I101" i="84"/>
  <c r="I29" i="84"/>
  <c r="I90" i="84"/>
  <c r="I61" i="65"/>
  <c r="I20" i="84"/>
  <c r="I62" i="65"/>
  <c r="I98" i="84"/>
  <c r="I68" i="84"/>
  <c r="I57" i="65"/>
  <c r="I18" i="84"/>
  <c r="F76" i="82"/>
  <c r="I53" i="65"/>
  <c r="I96" i="84"/>
  <c r="I13" i="84"/>
  <c r="I9" i="65"/>
  <c r="I12" i="65"/>
  <c r="I17" i="84"/>
  <c r="I69" i="65"/>
  <c r="I72" i="84"/>
  <c r="I31" i="65"/>
  <c r="I37" i="65"/>
  <c r="I86" i="84"/>
  <c r="I81" i="84"/>
  <c r="I41" i="84"/>
  <c r="I50" i="84"/>
  <c r="I31" i="84"/>
  <c r="I16" i="84"/>
  <c r="I21" i="65"/>
  <c r="I75" i="84"/>
  <c r="I23" i="65"/>
  <c r="I24" i="65"/>
  <c r="I94" i="65"/>
  <c r="I64" i="84"/>
  <c r="I14" i="65"/>
  <c r="I58" i="65"/>
  <c r="I78" i="84"/>
  <c r="E26" i="65"/>
  <c r="E95" i="84"/>
  <c r="E68" i="84"/>
  <c r="E73" i="65"/>
  <c r="E93" i="65"/>
  <c r="E84" i="65"/>
  <c r="E15" i="84"/>
  <c r="E88" i="65"/>
  <c r="E11" i="84"/>
  <c r="E31" i="65"/>
  <c r="E105" i="84"/>
  <c r="E65" i="65"/>
  <c r="E8" i="65"/>
  <c r="E72" i="84"/>
  <c r="E52" i="84"/>
  <c r="E44" i="65"/>
  <c r="E50" i="65"/>
  <c r="E27" i="65"/>
  <c r="E86" i="84"/>
  <c r="E13" i="84"/>
  <c r="E33" i="84"/>
  <c r="E105" i="65"/>
  <c r="E57" i="65"/>
  <c r="E51" i="84"/>
  <c r="E83" i="84"/>
  <c r="E101" i="65"/>
  <c r="D49" i="91"/>
  <c r="E24" i="84"/>
  <c r="F50" i="91"/>
  <c r="H48" i="82" s="1"/>
  <c r="I44" i="65"/>
  <c r="I14" i="84"/>
  <c r="I63" i="84"/>
  <c r="I53" i="84"/>
  <c r="I36" i="65"/>
  <c r="I71" i="65"/>
  <c r="I69" i="84"/>
  <c r="I52" i="84"/>
  <c r="I83" i="65"/>
  <c r="I8" i="84"/>
  <c r="I88" i="65"/>
  <c r="I75" i="65"/>
  <c r="I78" i="65"/>
  <c r="I87" i="65"/>
  <c r="I90" i="65"/>
  <c r="I84" i="65"/>
  <c r="I38" i="84"/>
  <c r="I29" i="65"/>
  <c r="I47" i="84"/>
  <c r="I28" i="65"/>
  <c r="I36" i="84"/>
  <c r="I7" i="65"/>
  <c r="I16" i="65"/>
  <c r="I51" i="84"/>
  <c r="I73" i="84"/>
  <c r="E53" i="84"/>
  <c r="E38" i="65"/>
  <c r="E90" i="84"/>
  <c r="E81" i="84"/>
  <c r="E79" i="84"/>
  <c r="E60" i="84"/>
  <c r="E36" i="84"/>
  <c r="E27" i="84"/>
  <c r="E37" i="65"/>
  <c r="E67" i="65"/>
  <c r="E83" i="65"/>
  <c r="E94" i="65"/>
  <c r="E74" i="65"/>
  <c r="E24" i="65"/>
  <c r="E99" i="84"/>
  <c r="E92" i="65"/>
  <c r="E101" i="84"/>
  <c r="I20" i="65"/>
  <c r="I77" i="84"/>
  <c r="I81" i="65"/>
  <c r="I22" i="65"/>
  <c r="I85" i="84"/>
  <c r="I79" i="84"/>
  <c r="I43" i="65"/>
  <c r="I48" i="65"/>
  <c r="I28" i="84"/>
  <c r="I97" i="65"/>
  <c r="I66" i="84"/>
  <c r="I71" i="84"/>
  <c r="I25" i="65"/>
  <c r="I34" i="65"/>
  <c r="I13" i="65"/>
  <c r="I32" i="65"/>
  <c r="I95" i="84"/>
  <c r="I105" i="65"/>
  <c r="I59" i="65"/>
  <c r="I89" i="65"/>
  <c r="I89" i="84"/>
  <c r="I93" i="84"/>
  <c r="I70" i="84"/>
  <c r="I44" i="84"/>
  <c r="I60" i="65"/>
  <c r="E69" i="84"/>
  <c r="E23" i="84"/>
  <c r="E76" i="65"/>
  <c r="E30" i="84"/>
  <c r="E7" i="65"/>
  <c r="E98" i="65"/>
  <c r="D47" i="76"/>
  <c r="I103" i="65"/>
  <c r="I92" i="65"/>
  <c r="I91" i="84"/>
  <c r="I9" i="84"/>
  <c r="I76" i="84"/>
  <c r="I39" i="84"/>
  <c r="I84" i="84"/>
  <c r="I27" i="84"/>
  <c r="I54" i="84"/>
  <c r="I12" i="84"/>
  <c r="I46" i="65"/>
  <c r="I64" i="65"/>
  <c r="I74" i="84"/>
  <c r="I30" i="84"/>
  <c r="I7" i="84"/>
  <c r="I42" i="65"/>
  <c r="I56" i="84"/>
  <c r="I49" i="84"/>
  <c r="I79" i="65"/>
  <c r="I80" i="65"/>
  <c r="I76" i="65"/>
  <c r="I18" i="65"/>
  <c r="I15" i="65"/>
  <c r="I19" i="65"/>
  <c r="I52" i="65"/>
  <c r="D75" i="82"/>
  <c r="E14" i="65"/>
  <c r="E87" i="84"/>
  <c r="E70" i="65"/>
  <c r="E19" i="65"/>
  <c r="E88" i="84"/>
  <c r="E82" i="84"/>
  <c r="E69" i="65"/>
  <c r="E28" i="84"/>
  <c r="E32" i="84"/>
  <c r="E41" i="84"/>
  <c r="E9" i="65"/>
  <c r="E10" i="84"/>
  <c r="E54" i="84"/>
  <c r="E29" i="65"/>
  <c r="E6" i="84"/>
  <c r="E38" i="84"/>
  <c r="E50" i="84"/>
  <c r="E64" i="84"/>
  <c r="E92" i="84"/>
  <c r="E37" i="84"/>
  <c r="E103" i="84"/>
  <c r="E18" i="65"/>
  <c r="E78" i="84"/>
  <c r="E44" i="84"/>
  <c r="E76" i="84"/>
  <c r="E60" i="65"/>
  <c r="E90" i="65"/>
  <c r="E52" i="65"/>
  <c r="E25" i="84"/>
  <c r="E64" i="65"/>
  <c r="E46" i="84"/>
  <c r="E25" i="65"/>
  <c r="E9" i="84"/>
  <c r="E100" i="65"/>
  <c r="E20" i="65"/>
  <c r="E17" i="65"/>
  <c r="E55" i="84"/>
  <c r="E23" i="65"/>
  <c r="E99" i="65"/>
  <c r="E58" i="65"/>
  <c r="E51" i="65"/>
  <c r="E71" i="84"/>
  <c r="E17" i="84"/>
  <c r="E35" i="84"/>
  <c r="E19" i="84"/>
  <c r="E66" i="65"/>
  <c r="E58" i="84"/>
  <c r="E84" i="84"/>
  <c r="E40" i="65"/>
  <c r="E46" i="65"/>
  <c r="E91" i="84"/>
  <c r="E30" i="65"/>
  <c r="E103" i="65"/>
  <c r="E15" i="65"/>
  <c r="E39" i="65"/>
  <c r="E85" i="84"/>
  <c r="E34" i="65"/>
  <c r="E80" i="84"/>
  <c r="E104" i="84"/>
  <c r="E22" i="84"/>
  <c r="E48" i="84"/>
  <c r="E56" i="65"/>
  <c r="E55" i="65"/>
  <c r="E100" i="84"/>
  <c r="E72" i="65"/>
  <c r="E12" i="84"/>
  <c r="E71" i="65"/>
  <c r="E49" i="65"/>
  <c r="E8" i="84"/>
  <c r="E93" i="84"/>
  <c r="E97" i="84"/>
  <c r="E12" i="65"/>
  <c r="E48" i="65"/>
  <c r="E59" i="65"/>
  <c r="E102" i="84"/>
  <c r="E79" i="65"/>
  <c r="E34" i="84"/>
  <c r="E32" i="65"/>
  <c r="E77" i="65"/>
  <c r="E68" i="65"/>
  <c r="E20" i="84"/>
  <c r="E28" i="65"/>
  <c r="E54" i="65"/>
  <c r="E62" i="65"/>
  <c r="E21" i="84"/>
  <c r="E73" i="84"/>
  <c r="E63" i="84"/>
  <c r="E47" i="65"/>
  <c r="E33" i="65"/>
  <c r="E11" i="65"/>
  <c r="E85" i="65"/>
  <c r="E82" i="65"/>
  <c r="E49" i="84"/>
  <c r="E40" i="84"/>
  <c r="E80" i="65"/>
  <c r="E75" i="65"/>
  <c r="E29" i="84"/>
  <c r="E70" i="84"/>
  <c r="E104" i="65"/>
  <c r="E74" i="84"/>
  <c r="E78" i="65"/>
  <c r="E89" i="84"/>
  <c r="E22" i="65"/>
  <c r="E62" i="84"/>
  <c r="E53" i="65"/>
  <c r="E61" i="84"/>
  <c r="E14" i="84"/>
  <c r="E39" i="84"/>
  <c r="E87" i="65"/>
  <c r="E59" i="84"/>
  <c r="E86" i="65"/>
  <c r="E81" i="65"/>
  <c r="E7" i="84"/>
  <c r="E63" i="65"/>
  <c r="E21" i="65"/>
  <c r="E31" i="84"/>
  <c r="E67" i="84"/>
  <c r="E96" i="84"/>
  <c r="E45" i="84"/>
  <c r="E43" i="84"/>
  <c r="E36" i="65"/>
  <c r="E91" i="65"/>
  <c r="E42" i="65"/>
  <c r="E102" i="65"/>
  <c r="E56" i="84"/>
  <c r="I42" i="84"/>
  <c r="I30" i="65"/>
  <c r="I98" i="65"/>
  <c r="I102" i="84"/>
  <c r="I102" i="65"/>
  <c r="I82" i="65"/>
  <c r="I72" i="65"/>
  <c r="I37" i="84"/>
  <c r="I49" i="65"/>
  <c r="I55" i="84"/>
  <c r="I86" i="65"/>
  <c r="I38" i="65"/>
  <c r="I25" i="84"/>
  <c r="I77" i="65"/>
  <c r="I48" i="84"/>
  <c r="I57" i="84"/>
  <c r="I94" i="84"/>
  <c r="I33" i="65"/>
  <c r="D49" i="76"/>
  <c r="I66" i="65"/>
  <c r="I80" i="84"/>
  <c r="I83" i="84"/>
  <c r="I99" i="84"/>
  <c r="I35" i="65"/>
  <c r="I41" i="65"/>
  <c r="E41" i="65"/>
  <c r="E94" i="84"/>
  <c r="E57" i="84"/>
  <c r="E97" i="65"/>
  <c r="I6" i="84"/>
  <c r="I6" i="65"/>
  <c r="I58" i="84"/>
  <c r="I40" i="65"/>
  <c r="I67" i="84"/>
  <c r="I73" i="65"/>
  <c r="I88" i="84"/>
  <c r="I22" i="84"/>
  <c r="I65" i="84"/>
  <c r="I85" i="65"/>
  <c r="I63" i="65"/>
  <c r="I95" i="65"/>
  <c r="I40" i="84"/>
  <c r="I65" i="65"/>
  <c r="I91" i="65"/>
  <c r="I45" i="84"/>
  <c r="I61" i="84"/>
  <c r="I100" i="65"/>
  <c r="I26" i="65"/>
  <c r="I19" i="84"/>
  <c r="I87" i="84"/>
  <c r="I54" i="65"/>
  <c r="I33" i="84"/>
  <c r="I104" i="84"/>
  <c r="I23" i="84"/>
  <c r="I97" i="84"/>
  <c r="E13" i="65"/>
  <c r="E35" i="65"/>
  <c r="E89" i="65"/>
  <c r="E95" i="65"/>
  <c r="E66" i="84"/>
  <c r="E98" i="84"/>
  <c r="E16" i="65"/>
  <c r="E26" i="84"/>
  <c r="E43" i="65"/>
  <c r="E10" i="65"/>
  <c r="E16" i="84"/>
  <c r="E18" i="84"/>
  <c r="E77" i="84"/>
  <c r="E47" i="84"/>
  <c r="F74" i="82"/>
  <c r="E61" i="65"/>
  <c r="I39" i="65"/>
  <c r="I21" i="84"/>
  <c r="I104" i="65"/>
  <c r="I50" i="65"/>
  <c r="I55" i="65"/>
  <c r="I56" i="65"/>
  <c r="I10" i="65"/>
  <c r="I8" i="65"/>
  <c r="E65" i="84"/>
  <c r="E75" i="84"/>
  <c r="E45" i="65"/>
  <c r="E6" i="65"/>
  <c r="E42" i="84"/>
  <c r="G96" i="65" l="1"/>
  <c r="F77" i="82"/>
  <c r="M36" i="76" s="1"/>
  <c r="G45" i="65"/>
  <c r="G16" i="84"/>
  <c r="G80" i="65"/>
  <c r="G97" i="84"/>
  <c r="G78" i="84"/>
  <c r="G16" i="65"/>
  <c r="I4" i="84"/>
  <c r="G42" i="65"/>
  <c r="G21" i="65"/>
  <c r="G14" i="84"/>
  <c r="G104" i="65"/>
  <c r="G85" i="65"/>
  <c r="G54" i="65"/>
  <c r="G102" i="84"/>
  <c r="G71" i="65"/>
  <c r="G104" i="84"/>
  <c r="G91" i="84"/>
  <c r="G17" i="84"/>
  <c r="G20" i="65"/>
  <c r="G90" i="65"/>
  <c r="G92" i="84"/>
  <c r="G9" i="65"/>
  <c r="G70" i="65"/>
  <c r="G7" i="65"/>
  <c r="G83" i="65"/>
  <c r="G90" i="84"/>
  <c r="G83" i="84"/>
  <c r="G50" i="65"/>
  <c r="G11" i="84"/>
  <c r="G26" i="65"/>
  <c r="G77" i="65"/>
  <c r="G58" i="84"/>
  <c r="G65" i="84"/>
  <c r="G43" i="65"/>
  <c r="D77" i="82"/>
  <c r="H36" i="76" s="1"/>
  <c r="G47" i="84"/>
  <c r="G98" i="84"/>
  <c r="G97" i="65"/>
  <c r="G91" i="65"/>
  <c r="G63" i="65"/>
  <c r="G61" i="84"/>
  <c r="G70" i="84"/>
  <c r="G11" i="65"/>
  <c r="G28" i="65"/>
  <c r="G59" i="65"/>
  <c r="G12" i="84"/>
  <c r="G80" i="84"/>
  <c r="G46" i="65"/>
  <c r="G71" i="84"/>
  <c r="G100" i="65"/>
  <c r="G60" i="65"/>
  <c r="G64" i="84"/>
  <c r="G41" i="84"/>
  <c r="G87" i="84"/>
  <c r="G30" i="84"/>
  <c r="G67" i="65"/>
  <c r="G38" i="65"/>
  <c r="G51" i="84"/>
  <c r="G44" i="65"/>
  <c r="G88" i="65"/>
  <c r="G89" i="65"/>
  <c r="G63" i="84"/>
  <c r="G55" i="65"/>
  <c r="G75" i="84"/>
  <c r="G13" i="65"/>
  <c r="G42" i="84"/>
  <c r="G77" i="84"/>
  <c r="G66" i="84"/>
  <c r="G57" i="84"/>
  <c r="G36" i="65"/>
  <c r="G7" i="84"/>
  <c r="G53" i="65"/>
  <c r="G29" i="84"/>
  <c r="G33" i="65"/>
  <c r="G20" i="84"/>
  <c r="G48" i="65"/>
  <c r="G72" i="65"/>
  <c r="G34" i="65"/>
  <c r="G40" i="65"/>
  <c r="G51" i="65"/>
  <c r="G9" i="84"/>
  <c r="G76" i="84"/>
  <c r="G50" i="84"/>
  <c r="G32" i="84"/>
  <c r="G14" i="65"/>
  <c r="G76" i="65"/>
  <c r="G101" i="84"/>
  <c r="G37" i="65"/>
  <c r="G53" i="84"/>
  <c r="G57" i="65"/>
  <c r="G52" i="84"/>
  <c r="G15" i="84"/>
  <c r="G46" i="84"/>
  <c r="G69" i="65"/>
  <c r="G36" i="84"/>
  <c r="G6" i="65"/>
  <c r="E4" i="65"/>
  <c r="G18" i="84"/>
  <c r="G95" i="65"/>
  <c r="G94" i="84"/>
  <c r="G43" i="84"/>
  <c r="G81" i="65"/>
  <c r="G62" i="84"/>
  <c r="G75" i="65"/>
  <c r="G47" i="65"/>
  <c r="G68" i="65"/>
  <c r="G12" i="65"/>
  <c r="G100" i="84"/>
  <c r="G85" i="84"/>
  <c r="G84" i="84"/>
  <c r="G58" i="65"/>
  <c r="G25" i="65"/>
  <c r="G44" i="84"/>
  <c r="G38" i="84"/>
  <c r="G28" i="84"/>
  <c r="G92" i="65"/>
  <c r="G27" i="84"/>
  <c r="G105" i="65"/>
  <c r="G72" i="84"/>
  <c r="G84" i="65"/>
  <c r="G33" i="84"/>
  <c r="G8" i="65"/>
  <c r="G93" i="65"/>
  <c r="G45" i="84"/>
  <c r="G22" i="65"/>
  <c r="G99" i="65"/>
  <c r="G23" i="84"/>
  <c r="G10" i="65"/>
  <c r="G35" i="65"/>
  <c r="G96" i="84"/>
  <c r="G59" i="84"/>
  <c r="G89" i="84"/>
  <c r="G40" i="84"/>
  <c r="G73" i="84"/>
  <c r="G32" i="65"/>
  <c r="G93" i="84"/>
  <c r="G56" i="65"/>
  <c r="G15" i="65"/>
  <c r="G66" i="65"/>
  <c r="G23" i="65"/>
  <c r="G64" i="65"/>
  <c r="G18" i="65"/>
  <c r="G29" i="65"/>
  <c r="G82" i="84"/>
  <c r="G69" i="84"/>
  <c r="G24" i="65"/>
  <c r="G60" i="84"/>
  <c r="G24" i="84"/>
  <c r="G13" i="84"/>
  <c r="G65" i="65"/>
  <c r="G73" i="65"/>
  <c r="G39" i="65"/>
  <c r="E4" i="84"/>
  <c r="G6" i="84"/>
  <c r="G99" i="84"/>
  <c r="G87" i="65"/>
  <c r="G34" i="84"/>
  <c r="G103" i="65"/>
  <c r="G19" i="84"/>
  <c r="G55" i="84"/>
  <c r="G25" i="84"/>
  <c r="G54" i="84"/>
  <c r="G88" i="84"/>
  <c r="G74" i="65"/>
  <c r="G79" i="84"/>
  <c r="D47" i="82"/>
  <c r="F49" i="91"/>
  <c r="H47" i="82" s="1"/>
  <c r="G86" i="84"/>
  <c r="G105" i="84"/>
  <c r="G68" i="84"/>
  <c r="G41" i="65"/>
  <c r="G86" i="65"/>
  <c r="G56" i="84"/>
  <c r="G67" i="84"/>
  <c r="G78" i="65"/>
  <c r="G49" i="84"/>
  <c r="G21" i="84"/>
  <c r="G8" i="84"/>
  <c r="G48" i="84"/>
  <c r="G103" i="84"/>
  <c r="G61" i="65"/>
  <c r="G26" i="84"/>
  <c r="I4" i="65"/>
  <c r="G102" i="65"/>
  <c r="G31" i="84"/>
  <c r="G39" i="84"/>
  <c r="G74" i="84"/>
  <c r="G82" i="65"/>
  <c r="G62" i="65"/>
  <c r="G79" i="65"/>
  <c r="G49" i="65"/>
  <c r="G22" i="84"/>
  <c r="G30" i="65"/>
  <c r="G35" i="84"/>
  <c r="G17" i="65"/>
  <c r="G52" i="65"/>
  <c r="G37" i="84"/>
  <c r="G10" i="84"/>
  <c r="G19" i="65"/>
  <c r="G98" i="65"/>
  <c r="G94" i="65"/>
  <c r="G81" i="84"/>
  <c r="G101" i="65"/>
  <c r="G27" i="65"/>
  <c r="G31" i="65"/>
  <c r="G95" i="84"/>
  <c r="M39" i="76" l="1"/>
  <c r="M40" i="76" s="1"/>
  <c r="F79" i="82"/>
  <c r="D79" i="82"/>
  <c r="H39" i="76"/>
  <c r="H40" i="76" s="1"/>
  <c r="G4" i="65"/>
  <c r="G4" i="84"/>
  <c r="D46" i="82"/>
  <c r="D48" i="82"/>
  <c r="D49" i="82" l="1"/>
  <c r="D51" i="76" l="1"/>
  <c r="F96" i="65"/>
  <c r="F97" i="84"/>
  <c r="F98" i="84"/>
  <c r="F61" i="84"/>
  <c r="F59" i="65"/>
  <c r="F71" i="84"/>
  <c r="F41" i="84"/>
  <c r="F38" i="65"/>
  <c r="F89" i="65"/>
  <c r="F13" i="65"/>
  <c r="F57" i="84"/>
  <c r="F29" i="84"/>
  <c r="F72" i="65"/>
  <c r="F9" i="84"/>
  <c r="F14" i="65"/>
  <c r="F53" i="84"/>
  <c r="F46" i="84"/>
  <c r="F22" i="65"/>
  <c r="F103" i="65"/>
  <c r="F41" i="65"/>
  <c r="F78" i="65"/>
  <c r="F48" i="84"/>
  <c r="F21" i="84"/>
  <c r="F71" i="65"/>
  <c r="F83" i="84"/>
  <c r="F100" i="84"/>
  <c r="F45" i="84"/>
  <c r="F93" i="84"/>
  <c r="F82" i="84"/>
  <c r="F54" i="65"/>
  <c r="F91" i="84"/>
  <c r="F92" i="84"/>
  <c r="F83" i="65"/>
  <c r="F11" i="84"/>
  <c r="F65" i="84"/>
  <c r="F18" i="84"/>
  <c r="F81" i="65"/>
  <c r="F68" i="65"/>
  <c r="F84" i="84"/>
  <c r="F38" i="84"/>
  <c r="F105" i="65"/>
  <c r="F8" i="65"/>
  <c r="F99" i="65"/>
  <c r="F96" i="84"/>
  <c r="F73" i="84"/>
  <c r="F15" i="65"/>
  <c r="F24" i="65"/>
  <c r="F65" i="65"/>
  <c r="F54" i="84"/>
  <c r="F102" i="65"/>
  <c r="F82" i="65"/>
  <c r="F22" i="84"/>
  <c r="F52" i="65"/>
  <c r="F98" i="65"/>
  <c r="F27" i="65"/>
  <c r="F105" i="84"/>
  <c r="F31" i="84"/>
  <c r="F75" i="65"/>
  <c r="F23" i="65"/>
  <c r="F39" i="65"/>
  <c r="F35" i="84"/>
  <c r="F45" i="65"/>
  <c r="F78" i="84"/>
  <c r="F21" i="65"/>
  <c r="F97" i="65"/>
  <c r="F70" i="84"/>
  <c r="F12" i="84"/>
  <c r="F100" i="65"/>
  <c r="F87" i="84"/>
  <c r="F51" i="84"/>
  <c r="F63" i="84"/>
  <c r="F42" i="84"/>
  <c r="F36" i="65"/>
  <c r="F33" i="65"/>
  <c r="F34" i="65"/>
  <c r="F76" i="84"/>
  <c r="F76" i="65"/>
  <c r="F57" i="65"/>
  <c r="F69" i="65"/>
  <c r="F18" i="65"/>
  <c r="F99" i="84"/>
  <c r="F19" i="84"/>
  <c r="F88" i="84"/>
  <c r="F86" i="84"/>
  <c r="F86" i="65"/>
  <c r="F49" i="84"/>
  <c r="F103" i="84"/>
  <c r="F62" i="84"/>
  <c r="F74" i="65"/>
  <c r="F20" i="65"/>
  <c r="F70" i="65"/>
  <c r="F77" i="65"/>
  <c r="F94" i="84"/>
  <c r="F84" i="65"/>
  <c r="F24" i="84"/>
  <c r="F39" i="84"/>
  <c r="F95" i="84"/>
  <c r="F102" i="84"/>
  <c r="F17" i="84"/>
  <c r="F9" i="65"/>
  <c r="F90" i="84"/>
  <c r="F26" i="65"/>
  <c r="F43" i="65"/>
  <c r="F95" i="65"/>
  <c r="F58" i="65"/>
  <c r="F28" i="84"/>
  <c r="F72" i="84"/>
  <c r="F93" i="65"/>
  <c r="F23" i="84"/>
  <c r="F59" i="84"/>
  <c r="F32" i="65"/>
  <c r="F66" i="65"/>
  <c r="F29" i="65"/>
  <c r="F60" i="84"/>
  <c r="F73" i="65"/>
  <c r="F62" i="65"/>
  <c r="F30" i="65"/>
  <c r="F37" i="84"/>
  <c r="F94" i="65"/>
  <c r="F31" i="65"/>
  <c r="F101" i="84"/>
  <c r="F52" i="84"/>
  <c r="F36" i="84"/>
  <c r="F12" i="65"/>
  <c r="F87" i="65"/>
  <c r="F55" i="84"/>
  <c r="F56" i="84"/>
  <c r="F61" i="65"/>
  <c r="F104" i="65"/>
  <c r="F10" i="65"/>
  <c r="F81" i="84"/>
  <c r="F16" i="84"/>
  <c r="F16" i="65"/>
  <c r="F14" i="84"/>
  <c r="F91" i="65"/>
  <c r="F11" i="65"/>
  <c r="F80" i="84"/>
  <c r="F60" i="65"/>
  <c r="F30" i="84"/>
  <c r="F44" i="65"/>
  <c r="F55" i="65"/>
  <c r="F77" i="84"/>
  <c r="F7" i="84"/>
  <c r="F20" i="84"/>
  <c r="F40" i="65"/>
  <c r="F50" i="84"/>
  <c r="F80" i="65"/>
  <c r="F47" i="84"/>
  <c r="F63" i="65"/>
  <c r="F28" i="65"/>
  <c r="F46" i="65"/>
  <c r="F64" i="84"/>
  <c r="F67" i="65"/>
  <c r="F88" i="65"/>
  <c r="F75" i="84"/>
  <c r="F66" i="84"/>
  <c r="F53" i="65"/>
  <c r="F48" i="65"/>
  <c r="F51" i="65"/>
  <c r="F32" i="84"/>
  <c r="F37" i="65"/>
  <c r="F15" i="84"/>
  <c r="F6" i="65"/>
  <c r="F34" i="84"/>
  <c r="F25" i="84"/>
  <c r="F79" i="84"/>
  <c r="F68" i="84"/>
  <c r="F67" i="84"/>
  <c r="F8" i="84"/>
  <c r="F26" i="84"/>
  <c r="F85" i="84"/>
  <c r="F27" i="84"/>
  <c r="F56" i="65"/>
  <c r="F64" i="65"/>
  <c r="F13" i="84"/>
  <c r="F74" i="84"/>
  <c r="F17" i="65"/>
  <c r="F19" i="65"/>
  <c r="F101" i="65"/>
  <c r="F92" i="65"/>
  <c r="F10" i="84"/>
  <c r="F42" i="65"/>
  <c r="F85" i="65"/>
  <c r="F104" i="84"/>
  <c r="F90" i="65"/>
  <c r="F7" i="65"/>
  <c r="F50" i="65"/>
  <c r="F58" i="84"/>
  <c r="F43" i="84"/>
  <c r="F47" i="65"/>
  <c r="F44" i="84"/>
  <c r="F33" i="84"/>
  <c r="F35" i="65"/>
  <c r="F40" i="84"/>
  <c r="F69" i="84"/>
  <c r="F6" i="84"/>
  <c r="F49" i="65"/>
  <c r="F25" i="65"/>
  <c r="F89" i="84"/>
  <c r="F79" i="65"/>
  <c r="H43" i="76"/>
  <c r="H8" i="65" s="1"/>
  <c r="H6" i="65" l="1"/>
  <c r="H4" i="65" s="1"/>
  <c r="F4" i="84"/>
  <c r="F4" i="65"/>
  <c r="C68" i="76" l="1"/>
  <c r="M43" i="76" l="1"/>
  <c r="H8" i="84" l="1"/>
  <c r="C69" i="76"/>
  <c r="H6" i="84"/>
  <c r="H4" i="84" l="1"/>
  <c r="G70" i="91" l="1"/>
  <c r="D69" i="91" s="1"/>
  <c r="F67" i="82" s="1"/>
  <c r="M33" i="76" s="1"/>
  <c r="M35" i="76" s="1"/>
  <c r="G69" i="91"/>
  <c r="D68" i="91" s="1"/>
  <c r="D67" i="82" s="1"/>
  <c r="H33" i="76" s="1"/>
  <c r="H35" i="76" s="1"/>
  <c r="E32" i="103"/>
  <c r="E32" i="102"/>
  <c r="E32" i="101"/>
  <c r="E32" i="100"/>
  <c r="E32" i="99"/>
  <c r="E32" i="98"/>
  <c r="E32" i="97"/>
  <c r="E32" i="96"/>
  <c r="E32" i="95"/>
  <c r="E32" i="94"/>
  <c r="E32" i="93"/>
  <c r="E32" i="81"/>
  <c r="D24" i="82"/>
  <c r="L5" i="84" l="1"/>
  <c r="M44" i="76"/>
  <c r="L5" i="65"/>
  <c r="H44" i="76"/>
  <c r="N5" i="65" l="1"/>
  <c r="O5" i="65"/>
  <c r="J6" i="65"/>
  <c r="O5" i="84"/>
  <c r="N5" i="84"/>
  <c r="J6" i="84"/>
  <c r="K6" i="65" l="1"/>
  <c r="K6" i="84"/>
  <c r="L6" i="84" l="1"/>
  <c r="L6" i="65"/>
  <c r="M6" i="65" l="1"/>
  <c r="O6" i="65"/>
  <c r="J7" i="65"/>
  <c r="N6" i="65"/>
  <c r="N6" i="84"/>
  <c r="O6" i="84"/>
  <c r="J7" i="84"/>
  <c r="M6" i="84"/>
  <c r="K7" i="65" l="1"/>
  <c r="K7" i="84"/>
  <c r="L7" i="84" l="1"/>
  <c r="L7" i="65"/>
  <c r="N7" i="65" l="1"/>
  <c r="J8" i="65"/>
  <c r="O7" i="65"/>
  <c r="M7" i="65"/>
  <c r="O7" i="84"/>
  <c r="J8" i="84"/>
  <c r="N7" i="84"/>
  <c r="M7" i="84"/>
  <c r="K8" i="65" l="1"/>
  <c r="K8" i="84"/>
  <c r="L8" i="84" l="1"/>
  <c r="L8" i="65"/>
  <c r="O8" i="65" l="1"/>
  <c r="J9" i="65"/>
  <c r="N8" i="65"/>
  <c r="M8" i="65"/>
  <c r="O8" i="84"/>
  <c r="J9" i="84"/>
  <c r="N8" i="84"/>
  <c r="M8" i="84"/>
  <c r="K9" i="65" l="1"/>
  <c r="K9" i="84"/>
  <c r="L9" i="84" l="1"/>
  <c r="L9" i="65"/>
  <c r="N9" i="84" l="1"/>
  <c r="J10" i="84"/>
  <c r="O9" i="84"/>
  <c r="M9" i="84"/>
  <c r="J10" i="65"/>
  <c r="O9" i="65"/>
  <c r="N9" i="65"/>
  <c r="M9" i="65"/>
  <c r="K10" i="65" l="1"/>
  <c r="K10" i="84"/>
  <c r="L10" i="84" l="1"/>
  <c r="L10" i="65"/>
  <c r="J11" i="65" l="1"/>
  <c r="K11" i="65" s="1"/>
  <c r="L11" i="65" s="1"/>
  <c r="M11" i="65" s="1"/>
  <c r="O10" i="65"/>
  <c r="N10" i="65"/>
  <c r="M10" i="65"/>
  <c r="J11" i="84"/>
  <c r="K11" i="84" s="1"/>
  <c r="L11" i="84" s="1"/>
  <c r="O10" i="84"/>
  <c r="N10" i="84"/>
  <c r="M11" i="84"/>
  <c r="M10" i="84"/>
  <c r="N11" i="84" l="1"/>
  <c r="O11" i="84"/>
  <c r="J12" i="84"/>
  <c r="K12" i="84" s="1"/>
  <c r="L12" i="84" s="1"/>
  <c r="M12" i="84" s="1"/>
  <c r="O11" i="65"/>
  <c r="J12" i="65"/>
  <c r="K12" i="65" s="1"/>
  <c r="L12" i="65" s="1"/>
  <c r="M12" i="65" s="1"/>
  <c r="N11" i="65"/>
  <c r="N12" i="65" l="1"/>
  <c r="O12" i="65"/>
  <c r="J13" i="65"/>
  <c r="K13" i="65" s="1"/>
  <c r="L13" i="65" s="1"/>
  <c r="N12" i="84"/>
  <c r="O12" i="84"/>
  <c r="J13" i="84"/>
  <c r="K13" i="84" s="1"/>
  <c r="L13" i="84" s="1"/>
  <c r="J14" i="84" l="1"/>
  <c r="K14" i="84" s="1"/>
  <c r="L14" i="84" s="1"/>
  <c r="O13" i="84"/>
  <c r="N13" i="84"/>
  <c r="M14" i="84"/>
  <c r="O13" i="65"/>
  <c r="J14" i="65"/>
  <c r="K14" i="65" s="1"/>
  <c r="L14" i="65" s="1"/>
  <c r="N13" i="65"/>
  <c r="M13" i="84"/>
  <c r="M13" i="65"/>
  <c r="J15" i="65" l="1"/>
  <c r="K15" i="65" s="1"/>
  <c r="L15" i="65" s="1"/>
  <c r="M15" i="65" s="1"/>
  <c r="N14" i="65"/>
  <c r="O14" i="65"/>
  <c r="M14" i="65"/>
  <c r="O14" i="84"/>
  <c r="J15" i="84"/>
  <c r="K15" i="84" s="1"/>
  <c r="L15" i="84" s="1"/>
  <c r="M15" i="84" s="1"/>
  <c r="N14" i="84"/>
  <c r="J16" i="84" l="1"/>
  <c r="K16" i="84" s="1"/>
  <c r="L16" i="84" s="1"/>
  <c r="N15" i="84"/>
  <c r="O15" i="84"/>
  <c r="N15" i="65"/>
  <c r="J16" i="65"/>
  <c r="K16" i="65" s="1"/>
  <c r="L16" i="65" s="1"/>
  <c r="O15" i="65"/>
  <c r="N16" i="65" l="1"/>
  <c r="O16" i="65"/>
  <c r="J17" i="65"/>
  <c r="K17" i="65" s="1"/>
  <c r="L17" i="65" s="1"/>
  <c r="M17" i="65"/>
  <c r="M16" i="65"/>
  <c r="M16" i="84"/>
  <c r="J17" i="84"/>
  <c r="K17" i="84" s="1"/>
  <c r="L17" i="84" s="1"/>
  <c r="N16" i="84"/>
  <c r="O16" i="84"/>
  <c r="M17" i="84" l="1"/>
  <c r="O17" i="84"/>
  <c r="N17" i="84"/>
  <c r="J18" i="84"/>
  <c r="K18" i="84" s="1"/>
  <c r="L18" i="84" s="1"/>
  <c r="O17" i="65"/>
  <c r="J18" i="65"/>
  <c r="K18" i="65" s="1"/>
  <c r="L18" i="65" s="1"/>
  <c r="N17" i="65"/>
  <c r="M18" i="84" l="1"/>
  <c r="O18" i="84"/>
  <c r="J19" i="84"/>
  <c r="K19" i="84" s="1"/>
  <c r="L19" i="84" s="1"/>
  <c r="N18" i="84"/>
  <c r="J19" i="65"/>
  <c r="K19" i="65" s="1"/>
  <c r="L19" i="65" s="1"/>
  <c r="N18" i="65"/>
  <c r="O18" i="65"/>
  <c r="M19" i="65"/>
  <c r="M18" i="65"/>
  <c r="N19" i="84" l="1"/>
  <c r="O19" i="84"/>
  <c r="J20" i="84"/>
  <c r="K20" i="84" s="1"/>
  <c r="L20" i="84" s="1"/>
  <c r="M20" i="84"/>
  <c r="O19" i="65"/>
  <c r="J20" i="65"/>
  <c r="K20" i="65" s="1"/>
  <c r="L20" i="65" s="1"/>
  <c r="N19" i="65"/>
  <c r="M19" i="84"/>
  <c r="M20" i="65" l="1"/>
  <c r="O20" i="65"/>
  <c r="N20" i="65"/>
  <c r="J21" i="65"/>
  <c r="K21" i="65" s="1"/>
  <c r="L21" i="65" s="1"/>
  <c r="M21" i="65" s="1"/>
  <c r="N20" i="84"/>
  <c r="O20" i="84"/>
  <c r="J21" i="84"/>
  <c r="K21" i="84" s="1"/>
  <c r="L21" i="84" s="1"/>
  <c r="M21" i="84" s="1"/>
  <c r="J22" i="84" l="1"/>
  <c r="K22" i="84" s="1"/>
  <c r="L22" i="84" s="1"/>
  <c r="O21" i="84"/>
  <c r="N21" i="84"/>
  <c r="O21" i="65"/>
  <c r="N21" i="65"/>
  <c r="J22" i="65"/>
  <c r="K22" i="65" s="1"/>
  <c r="L22" i="65" s="1"/>
  <c r="O22" i="65" l="1"/>
  <c r="N22" i="65"/>
  <c r="J23" i="65"/>
  <c r="K23" i="65" s="1"/>
  <c r="L23" i="65" s="1"/>
  <c r="M23" i="65"/>
  <c r="M22" i="65"/>
  <c r="M22" i="84"/>
  <c r="O22" i="84"/>
  <c r="N22" i="84"/>
  <c r="J23" i="84"/>
  <c r="K23" i="84" s="1"/>
  <c r="L23" i="84" s="1"/>
  <c r="M23" i="84" s="1"/>
  <c r="N23" i="84" l="1"/>
  <c r="O23" i="84"/>
  <c r="J24" i="84"/>
  <c r="K24" i="84" s="1"/>
  <c r="L24" i="84" s="1"/>
  <c r="J24" i="65"/>
  <c r="K24" i="65" s="1"/>
  <c r="L24" i="65" s="1"/>
  <c r="O23" i="65"/>
  <c r="N23" i="65"/>
  <c r="J25" i="84" l="1"/>
  <c r="K25" i="84" s="1"/>
  <c r="L25" i="84" s="1"/>
  <c r="N24" i="84"/>
  <c r="O24" i="84"/>
  <c r="N24" i="65"/>
  <c r="O24" i="65"/>
  <c r="J25" i="65"/>
  <c r="K25" i="65" s="1"/>
  <c r="L25" i="65" s="1"/>
  <c r="M25" i="65" s="1"/>
  <c r="M24" i="65"/>
  <c r="M24" i="84"/>
  <c r="J26" i="65" l="1"/>
  <c r="K26" i="65" s="1"/>
  <c r="L26" i="65" s="1"/>
  <c r="N25" i="65"/>
  <c r="O25" i="65"/>
  <c r="M26" i="65"/>
  <c r="M25" i="84"/>
  <c r="O25" i="84"/>
  <c r="J26" i="84"/>
  <c r="K26" i="84" s="1"/>
  <c r="L26" i="84" s="1"/>
  <c r="M26" i="84" s="1"/>
  <c r="N25" i="84"/>
  <c r="N26" i="84" l="1"/>
  <c r="J27" i="84"/>
  <c r="K27" i="84" s="1"/>
  <c r="L27" i="84" s="1"/>
  <c r="M27" i="84" s="1"/>
  <c r="O26" i="84"/>
  <c r="J27" i="65"/>
  <c r="K27" i="65" s="1"/>
  <c r="L27" i="65" s="1"/>
  <c r="O26" i="65"/>
  <c r="N26" i="65"/>
  <c r="O27" i="65" l="1"/>
  <c r="N27" i="65"/>
  <c r="J28" i="65"/>
  <c r="K28" i="65" s="1"/>
  <c r="L28" i="65" s="1"/>
  <c r="M28" i="65" s="1"/>
  <c r="M27" i="65"/>
  <c r="N27" i="84"/>
  <c r="O27" i="84"/>
  <c r="J28" i="84"/>
  <c r="K28" i="84" s="1"/>
  <c r="L28" i="84" s="1"/>
  <c r="J29" i="84" l="1"/>
  <c r="K29" i="84" s="1"/>
  <c r="L29" i="84" s="1"/>
  <c r="N28" i="84"/>
  <c r="O28" i="84"/>
  <c r="M28" i="84"/>
  <c r="J29" i="65"/>
  <c r="K29" i="65" s="1"/>
  <c r="L29" i="65" s="1"/>
  <c r="M29" i="65" s="1"/>
  <c r="O28" i="65"/>
  <c r="N28" i="65"/>
  <c r="J30" i="65" l="1"/>
  <c r="K30" i="65" s="1"/>
  <c r="L30" i="65" s="1"/>
  <c r="N29" i="65"/>
  <c r="O29" i="65"/>
  <c r="M30" i="65"/>
  <c r="M29" i="84"/>
  <c r="O29" i="84"/>
  <c r="N29" i="84"/>
  <c r="J30" i="84"/>
  <c r="K30" i="84" s="1"/>
  <c r="L30" i="84" s="1"/>
  <c r="M30" i="84" s="1"/>
  <c r="N30" i="84" l="1"/>
  <c r="J31" i="84"/>
  <c r="K31" i="84" s="1"/>
  <c r="L31" i="84" s="1"/>
  <c r="O30" i="84"/>
  <c r="M31" i="84"/>
  <c r="J31" i="65"/>
  <c r="K31" i="65" s="1"/>
  <c r="L31" i="65" s="1"/>
  <c r="N30" i="65"/>
  <c r="O30" i="65"/>
  <c r="J32" i="65" l="1"/>
  <c r="K32" i="65" s="1"/>
  <c r="L32" i="65" s="1"/>
  <c r="N31" i="65"/>
  <c r="O31" i="65"/>
  <c r="M32" i="65"/>
  <c r="M31" i="65"/>
  <c r="O31" i="84"/>
  <c r="N31" i="84"/>
  <c r="J32" i="84"/>
  <c r="K32" i="84" s="1"/>
  <c r="L32" i="84" s="1"/>
  <c r="M32" i="84"/>
  <c r="J33" i="84" l="1"/>
  <c r="K33" i="84" s="1"/>
  <c r="L33" i="84" s="1"/>
  <c r="O32" i="84"/>
  <c r="N32" i="84"/>
  <c r="J33" i="65"/>
  <c r="K33" i="65" s="1"/>
  <c r="L33" i="65" s="1"/>
  <c r="N32" i="65"/>
  <c r="O32" i="65"/>
  <c r="M33" i="65"/>
  <c r="O33" i="65" l="1"/>
  <c r="J34" i="65"/>
  <c r="K34" i="65" s="1"/>
  <c r="L34" i="65" s="1"/>
  <c r="M34" i="65" s="1"/>
  <c r="N33" i="65"/>
  <c r="M33" i="84"/>
  <c r="O33" i="84"/>
  <c r="J34" i="84"/>
  <c r="K34" i="84" s="1"/>
  <c r="L34" i="84" s="1"/>
  <c r="N33" i="84"/>
  <c r="M34" i="84" l="1"/>
  <c r="O34" i="84"/>
  <c r="N34" i="84"/>
  <c r="J35" i="84"/>
  <c r="K35" i="84" s="1"/>
  <c r="L35" i="84" s="1"/>
  <c r="J35" i="65"/>
  <c r="K35" i="65" s="1"/>
  <c r="L35" i="65" s="1"/>
  <c r="O34" i="65"/>
  <c r="N34" i="65"/>
  <c r="O35" i="65" l="1"/>
  <c r="N35" i="65"/>
  <c r="J36" i="65"/>
  <c r="K36" i="65" s="1"/>
  <c r="L36" i="65" s="1"/>
  <c r="M36" i="65"/>
  <c r="N35" i="84"/>
  <c r="O35" i="84"/>
  <c r="J36" i="84"/>
  <c r="K36" i="84" s="1"/>
  <c r="L36" i="84" s="1"/>
  <c r="J37" i="84" s="1"/>
  <c r="K37" i="84" s="1"/>
  <c r="L37" i="84" s="1"/>
  <c r="M35" i="65"/>
  <c r="M35" i="84"/>
  <c r="M37" i="84" l="1"/>
  <c r="J38" i="84"/>
  <c r="K38" i="84" s="1"/>
  <c r="L38" i="84" s="1"/>
  <c r="J39" i="84" s="1"/>
  <c r="K39" i="84" s="1"/>
  <c r="L39" i="84" s="1"/>
  <c r="M36" i="84"/>
  <c r="J37" i="65"/>
  <c r="K37" i="65" s="1"/>
  <c r="L37" i="65" s="1"/>
  <c r="M37" i="65"/>
  <c r="M39" i="84" l="1"/>
  <c r="J40" i="84"/>
  <c r="K40" i="84" s="1"/>
  <c r="L40" i="84" s="1"/>
  <c r="J41" i="84" s="1"/>
  <c r="K41" i="84" s="1"/>
  <c r="L41" i="84" s="1"/>
  <c r="J38" i="65"/>
  <c r="K38" i="65" s="1"/>
  <c r="L38" i="65" s="1"/>
  <c r="M38" i="65" s="1"/>
  <c r="M38" i="84"/>
  <c r="M40" i="84" l="1"/>
  <c r="M41" i="84"/>
  <c r="J42" i="84"/>
  <c r="K42" i="84" s="1"/>
  <c r="L42" i="84" s="1"/>
  <c r="M42" i="84"/>
  <c r="J39" i="65"/>
  <c r="K39" i="65" s="1"/>
  <c r="L39" i="65" s="1"/>
  <c r="J40" i="65" l="1"/>
  <c r="K40" i="65" s="1"/>
  <c r="L40" i="65" s="1"/>
  <c r="M40" i="65" s="1"/>
  <c r="M39" i="65"/>
  <c r="J43" i="84"/>
  <c r="K43" i="84" s="1"/>
  <c r="L43" i="84" s="1"/>
  <c r="M43" i="84" s="1"/>
  <c r="J44" i="84" l="1"/>
  <c r="K44" i="84" s="1"/>
  <c r="L44" i="84" s="1"/>
  <c r="J45" i="84" s="1"/>
  <c r="K45" i="84" s="1"/>
  <c r="L45" i="84" s="1"/>
  <c r="J41" i="65"/>
  <c r="K41" i="65" s="1"/>
  <c r="L41" i="65" s="1"/>
  <c r="M44" i="84" l="1"/>
  <c r="J42" i="65"/>
  <c r="K42" i="65" s="1"/>
  <c r="L42" i="65" s="1"/>
  <c r="M42" i="65"/>
  <c r="M41" i="65"/>
  <c r="M45" i="84"/>
  <c r="J46" i="84"/>
  <c r="K46" i="84" s="1"/>
  <c r="L46" i="84" s="1"/>
  <c r="M46" i="84" s="1"/>
  <c r="J47" i="84" l="1"/>
  <c r="K47" i="84" s="1"/>
  <c r="L47" i="84" s="1"/>
  <c r="J48" i="84" s="1"/>
  <c r="K48" i="84" s="1"/>
  <c r="L48" i="84" s="1"/>
  <c r="J43" i="65"/>
  <c r="K43" i="65" s="1"/>
  <c r="L43" i="65" s="1"/>
  <c r="M43" i="65" s="1"/>
  <c r="M47" i="84" l="1"/>
  <c r="J44" i="65"/>
  <c r="K44" i="65" s="1"/>
  <c r="L44" i="65" s="1"/>
  <c r="M44" i="65"/>
  <c r="M48" i="84"/>
  <c r="J49" i="84"/>
  <c r="K49" i="84" s="1"/>
  <c r="L49" i="84" s="1"/>
  <c r="J50" i="84" s="1"/>
  <c r="K50" i="84" s="1"/>
  <c r="L50" i="84" s="1"/>
  <c r="M50" i="84" l="1"/>
  <c r="J51" i="84"/>
  <c r="K51" i="84" s="1"/>
  <c r="L51" i="84" s="1"/>
  <c r="J52" i="84" s="1"/>
  <c r="K52" i="84" s="1"/>
  <c r="L52" i="84" s="1"/>
  <c r="M49" i="84"/>
  <c r="J45" i="65"/>
  <c r="K45" i="65" s="1"/>
  <c r="L45" i="65" s="1"/>
  <c r="M45" i="65" s="1"/>
  <c r="J46" i="65" l="1"/>
  <c r="K46" i="65" s="1"/>
  <c r="L46" i="65" s="1"/>
  <c r="M46" i="65"/>
  <c r="M51" i="84"/>
  <c r="M52" i="84"/>
  <c r="J53" i="84"/>
  <c r="K53" i="84" s="1"/>
  <c r="L53" i="84" s="1"/>
  <c r="M53" i="84" s="1"/>
  <c r="J54" i="84" l="1"/>
  <c r="K54" i="84" s="1"/>
  <c r="L54" i="84" s="1"/>
  <c r="J55" i="84" s="1"/>
  <c r="K55" i="84" s="1"/>
  <c r="L55" i="84" s="1"/>
  <c r="M54" i="84"/>
  <c r="J47" i="65"/>
  <c r="K47" i="65" s="1"/>
  <c r="L47" i="65" s="1"/>
  <c r="J48" i="65" l="1"/>
  <c r="K48" i="65" s="1"/>
  <c r="L48" i="65" s="1"/>
  <c r="J49" i="65" s="1"/>
  <c r="K49" i="65" s="1"/>
  <c r="L49" i="65" s="1"/>
  <c r="M48" i="65"/>
  <c r="M47" i="65"/>
  <c r="M55" i="84"/>
  <c r="J56" i="84"/>
  <c r="K56" i="84" s="1"/>
  <c r="L56" i="84" s="1"/>
  <c r="J57" i="84" l="1"/>
  <c r="K57" i="84" s="1"/>
  <c r="L57" i="84" s="1"/>
  <c r="M57" i="84" s="1"/>
  <c r="M56" i="84"/>
  <c r="M49" i="65"/>
  <c r="J50" i="65"/>
  <c r="K50" i="65" s="1"/>
  <c r="L50" i="65" s="1"/>
  <c r="J51" i="65" s="1"/>
  <c r="K51" i="65" s="1"/>
  <c r="L51" i="65" s="1"/>
  <c r="M51" i="65" l="1"/>
  <c r="J52" i="65"/>
  <c r="K52" i="65" s="1"/>
  <c r="L52" i="65" s="1"/>
  <c r="M50" i="65"/>
  <c r="J58" i="84"/>
  <c r="K58" i="84" s="1"/>
  <c r="L58" i="84" s="1"/>
  <c r="M58" i="84" s="1"/>
  <c r="J59" i="84" l="1"/>
  <c r="K59" i="84" s="1"/>
  <c r="L59" i="84" s="1"/>
  <c r="M59" i="84"/>
  <c r="M52" i="65"/>
  <c r="J53" i="65"/>
  <c r="K53" i="65" s="1"/>
  <c r="L53" i="65" s="1"/>
  <c r="J54" i="65" l="1"/>
  <c r="K54" i="65" s="1"/>
  <c r="L54" i="65" s="1"/>
  <c r="M54" i="65"/>
  <c r="M53" i="65"/>
  <c r="J60" i="84"/>
  <c r="K60" i="84" s="1"/>
  <c r="L60" i="84" s="1"/>
  <c r="M60" i="84"/>
  <c r="J61" i="84" l="1"/>
  <c r="K61" i="84" s="1"/>
  <c r="L61" i="84" s="1"/>
  <c r="M61" i="84" s="1"/>
  <c r="J55" i="65"/>
  <c r="K55" i="65" s="1"/>
  <c r="L55" i="65" s="1"/>
  <c r="M55" i="65" s="1"/>
  <c r="J56" i="65" l="1"/>
  <c r="K56" i="65" s="1"/>
  <c r="L56" i="65" s="1"/>
  <c r="M56" i="65" s="1"/>
  <c r="J62" i="84"/>
  <c r="K62" i="84" s="1"/>
  <c r="L62" i="84" s="1"/>
  <c r="J63" i="84" s="1"/>
  <c r="K63" i="84" s="1"/>
  <c r="L63" i="84" s="1"/>
  <c r="M63" i="84" l="1"/>
  <c r="J64" i="84"/>
  <c r="K64" i="84" s="1"/>
  <c r="L64" i="84" s="1"/>
  <c r="M62" i="84"/>
  <c r="J57" i="65"/>
  <c r="K57" i="65" s="1"/>
  <c r="L57" i="65" s="1"/>
  <c r="J58" i="65" l="1"/>
  <c r="K58" i="65" s="1"/>
  <c r="L58" i="65" s="1"/>
  <c r="M58" i="65" s="1"/>
  <c r="J65" i="84"/>
  <c r="K65" i="84" s="1"/>
  <c r="L65" i="84" s="1"/>
  <c r="M57" i="65"/>
  <c r="M64" i="84"/>
  <c r="J66" i="84" l="1"/>
  <c r="K66" i="84" s="1"/>
  <c r="L66" i="84" s="1"/>
  <c r="M66" i="84" s="1"/>
  <c r="M65" i="84"/>
  <c r="J59" i="65"/>
  <c r="K59" i="65" s="1"/>
  <c r="L59" i="65" s="1"/>
  <c r="M59" i="65"/>
  <c r="J60" i="65" l="1"/>
  <c r="K60" i="65" s="1"/>
  <c r="L60" i="65" s="1"/>
  <c r="M60" i="65" s="1"/>
  <c r="J67" i="84"/>
  <c r="K67" i="84" s="1"/>
  <c r="L67" i="84" s="1"/>
  <c r="J68" i="84" l="1"/>
  <c r="K68" i="84" s="1"/>
  <c r="L68" i="84" s="1"/>
  <c r="M68" i="84" s="1"/>
  <c r="M67" i="84"/>
  <c r="J61" i="65"/>
  <c r="K61" i="65" s="1"/>
  <c r="L61" i="65" s="1"/>
  <c r="M61" i="65" s="1"/>
  <c r="J62" i="65" l="1"/>
  <c r="K62" i="65" s="1"/>
  <c r="L62" i="65" s="1"/>
  <c r="M62" i="65" s="1"/>
  <c r="J69" i="84"/>
  <c r="K69" i="84" s="1"/>
  <c r="L69" i="84" s="1"/>
  <c r="M69" i="84" s="1"/>
  <c r="J70" i="84" l="1"/>
  <c r="K70" i="84" s="1"/>
  <c r="L70" i="84" s="1"/>
  <c r="M70" i="84" s="1"/>
  <c r="J63" i="65"/>
  <c r="K63" i="65" s="1"/>
  <c r="L63" i="65" s="1"/>
  <c r="J64" i="65" l="1"/>
  <c r="K64" i="65" s="1"/>
  <c r="L64" i="65" s="1"/>
  <c r="M64" i="65" s="1"/>
  <c r="M63" i="65"/>
  <c r="J71" i="84"/>
  <c r="K71" i="84" s="1"/>
  <c r="L71" i="84" s="1"/>
  <c r="M71" i="84" s="1"/>
  <c r="J72" i="84" l="1"/>
  <c r="K72" i="84" s="1"/>
  <c r="L72" i="84" s="1"/>
  <c r="M72" i="84"/>
  <c r="J65" i="65"/>
  <c r="K65" i="65" s="1"/>
  <c r="L65" i="65" s="1"/>
  <c r="M65" i="65"/>
  <c r="J66" i="65" l="1"/>
  <c r="K66" i="65" s="1"/>
  <c r="L66" i="65" s="1"/>
  <c r="M66" i="65" s="1"/>
  <c r="J73" i="84"/>
  <c r="K73" i="84" s="1"/>
  <c r="L73" i="84" s="1"/>
  <c r="M73" i="84"/>
  <c r="J74" i="84" l="1"/>
  <c r="K74" i="84" s="1"/>
  <c r="L74" i="84" s="1"/>
  <c r="M74" i="84" s="1"/>
  <c r="J67" i="65"/>
  <c r="K67" i="65" s="1"/>
  <c r="L67" i="65" s="1"/>
  <c r="M67" i="65"/>
  <c r="J68" i="65" l="1"/>
  <c r="K68" i="65" s="1"/>
  <c r="L68" i="65" s="1"/>
  <c r="M68" i="65" s="1"/>
  <c r="J75" i="84"/>
  <c r="K75" i="84" s="1"/>
  <c r="L75" i="84" s="1"/>
  <c r="M75" i="84" s="1"/>
  <c r="J76" i="84" l="1"/>
  <c r="K76" i="84" s="1"/>
  <c r="L76" i="84" s="1"/>
  <c r="J77" i="84" s="1"/>
  <c r="K77" i="84" s="1"/>
  <c r="L77" i="84" s="1"/>
  <c r="J69" i="65"/>
  <c r="K69" i="65" s="1"/>
  <c r="L69" i="65" s="1"/>
  <c r="M69" i="65"/>
  <c r="J70" i="65" l="1"/>
  <c r="K70" i="65" s="1"/>
  <c r="L70" i="65" s="1"/>
  <c r="M70" i="65" s="1"/>
  <c r="M76" i="84"/>
  <c r="M77" i="84"/>
  <c r="J78" i="84"/>
  <c r="K78" i="84" s="1"/>
  <c r="L78" i="84" s="1"/>
  <c r="M78" i="84" s="1"/>
  <c r="J79" i="84" l="1"/>
  <c r="K79" i="84" s="1"/>
  <c r="L79" i="84" s="1"/>
  <c r="M79" i="84" s="1"/>
  <c r="J71" i="65"/>
  <c r="K71" i="65" s="1"/>
  <c r="L71" i="65" s="1"/>
  <c r="J72" i="65" l="1"/>
  <c r="K72" i="65" s="1"/>
  <c r="L72" i="65" s="1"/>
  <c r="J73" i="65" s="1"/>
  <c r="K73" i="65" s="1"/>
  <c r="L73" i="65" s="1"/>
  <c r="M71" i="65"/>
  <c r="J80" i="84"/>
  <c r="K80" i="84" s="1"/>
  <c r="L80" i="84" s="1"/>
  <c r="M80" i="84" s="1"/>
  <c r="M72" i="65" l="1"/>
  <c r="J81" i="84"/>
  <c r="K81" i="84" s="1"/>
  <c r="L81" i="84" s="1"/>
  <c r="M81" i="84"/>
  <c r="M73" i="65"/>
  <c r="J74" i="65"/>
  <c r="K74" i="65" s="1"/>
  <c r="L74" i="65" s="1"/>
  <c r="M74" i="65"/>
  <c r="J75" i="65" l="1"/>
  <c r="K75" i="65" s="1"/>
  <c r="L75" i="65" s="1"/>
  <c r="J76" i="65" s="1"/>
  <c r="K76" i="65" s="1"/>
  <c r="L76" i="65" s="1"/>
  <c r="J82" i="84"/>
  <c r="K82" i="84" s="1"/>
  <c r="L82" i="84" s="1"/>
  <c r="J83" i="84" s="1"/>
  <c r="K83" i="84" s="1"/>
  <c r="L83" i="84" s="1"/>
  <c r="M75" i="65" l="1"/>
  <c r="M82" i="84"/>
  <c r="M83" i="84"/>
  <c r="J84" i="84"/>
  <c r="K84" i="84" s="1"/>
  <c r="L84" i="84" s="1"/>
  <c r="M76" i="65"/>
  <c r="J77" i="65"/>
  <c r="K77" i="65" s="1"/>
  <c r="L77" i="65" s="1"/>
  <c r="M77" i="65" s="1"/>
  <c r="J78" i="65" l="1"/>
  <c r="K78" i="65" s="1"/>
  <c r="L78" i="65" s="1"/>
  <c r="M78" i="65" s="1"/>
  <c r="J85" i="84"/>
  <c r="K85" i="84" s="1"/>
  <c r="L85" i="84" s="1"/>
  <c r="M84" i="84"/>
  <c r="J86" i="84" l="1"/>
  <c r="K86" i="84" s="1"/>
  <c r="L86" i="84" s="1"/>
  <c r="J87" i="84" s="1"/>
  <c r="K87" i="84" s="1"/>
  <c r="L87" i="84" s="1"/>
  <c r="M85" i="84"/>
  <c r="J79" i="65"/>
  <c r="K79" i="65" s="1"/>
  <c r="L79" i="65" s="1"/>
  <c r="M79" i="65" s="1"/>
  <c r="M86" i="84" l="1"/>
  <c r="J80" i="65"/>
  <c r="K80" i="65" s="1"/>
  <c r="L80" i="65" s="1"/>
  <c r="J81" i="65" s="1"/>
  <c r="K81" i="65" s="1"/>
  <c r="L81" i="65" s="1"/>
  <c r="M87" i="84"/>
  <c r="J88" i="84"/>
  <c r="K88" i="84" s="1"/>
  <c r="L88" i="84" s="1"/>
  <c r="J89" i="84" s="1"/>
  <c r="K89" i="84" s="1"/>
  <c r="L89" i="84" s="1"/>
  <c r="M80" i="65" l="1"/>
  <c r="M88" i="84"/>
  <c r="M89" i="84"/>
  <c r="J90" i="84"/>
  <c r="K90" i="84" s="1"/>
  <c r="L90" i="84" s="1"/>
  <c r="M90" i="84" s="1"/>
  <c r="M81" i="65"/>
  <c r="J82" i="65"/>
  <c r="K82" i="65" s="1"/>
  <c r="L82" i="65" s="1"/>
  <c r="J83" i="65" l="1"/>
  <c r="K83" i="65" s="1"/>
  <c r="L83" i="65" s="1"/>
  <c r="M83" i="65" s="1"/>
  <c r="M82" i="65"/>
  <c r="J91" i="84"/>
  <c r="K91" i="84" s="1"/>
  <c r="L91" i="84" s="1"/>
  <c r="M91" i="84"/>
  <c r="J92" i="84" l="1"/>
  <c r="K92" i="84" s="1"/>
  <c r="L92" i="84" s="1"/>
  <c r="J93" i="84" s="1"/>
  <c r="K93" i="84" s="1"/>
  <c r="L93" i="84" s="1"/>
  <c r="J84" i="65"/>
  <c r="K84" i="65" s="1"/>
  <c r="L84" i="65" s="1"/>
  <c r="M84" i="65" s="1"/>
  <c r="M92" i="84" l="1"/>
  <c r="J85" i="65"/>
  <c r="K85" i="65" s="1"/>
  <c r="L85" i="65" s="1"/>
  <c r="M85" i="65"/>
  <c r="M93" i="84"/>
  <c r="J94" i="84"/>
  <c r="K94" i="84" s="1"/>
  <c r="L94" i="84" s="1"/>
  <c r="M94" i="84"/>
  <c r="J95" i="84" l="1"/>
  <c r="K95" i="84" s="1"/>
  <c r="L95" i="84" s="1"/>
  <c r="M95" i="84"/>
  <c r="J86" i="65"/>
  <c r="K86" i="65" s="1"/>
  <c r="L86" i="65" s="1"/>
  <c r="J87" i="65" l="1"/>
  <c r="K87" i="65" s="1"/>
  <c r="L87" i="65" s="1"/>
  <c r="M87" i="65" s="1"/>
  <c r="M86" i="65"/>
  <c r="J96" i="84"/>
  <c r="K96" i="84" s="1"/>
  <c r="L96" i="84" s="1"/>
  <c r="J97" i="84" l="1"/>
  <c r="K97" i="84" s="1"/>
  <c r="L97" i="84" s="1"/>
  <c r="M97" i="84" s="1"/>
  <c r="M96" i="84"/>
  <c r="J88" i="65"/>
  <c r="K88" i="65" s="1"/>
  <c r="L88" i="65" s="1"/>
  <c r="J89" i="65" l="1"/>
  <c r="K89" i="65" s="1"/>
  <c r="L89" i="65" s="1"/>
  <c r="M89" i="65" s="1"/>
  <c r="M88" i="65"/>
  <c r="J98" i="84"/>
  <c r="K98" i="84" s="1"/>
  <c r="L98" i="84" s="1"/>
  <c r="J99" i="84" s="1"/>
  <c r="K99" i="84" s="1"/>
  <c r="L99" i="84" s="1"/>
  <c r="M99" i="84" l="1"/>
  <c r="J100" i="84"/>
  <c r="K100" i="84" s="1"/>
  <c r="L100" i="84" s="1"/>
  <c r="M100" i="84" s="1"/>
  <c r="M98" i="84"/>
  <c r="J90" i="65"/>
  <c r="K90" i="65" s="1"/>
  <c r="L90" i="65" s="1"/>
  <c r="M90" i="65" s="1"/>
  <c r="J101" i="84" l="1"/>
  <c r="K101" i="84" s="1"/>
  <c r="L101" i="84" s="1"/>
  <c r="M101" i="84" s="1"/>
  <c r="M4" i="84" s="1"/>
  <c r="K56" i="76" s="1"/>
  <c r="J91" i="65"/>
  <c r="K91" i="65" s="1"/>
  <c r="L91" i="65" s="1"/>
  <c r="J92" i="65" s="1"/>
  <c r="K92" i="65" s="1"/>
  <c r="L92" i="65" s="1"/>
  <c r="M91" i="65" l="1"/>
  <c r="M92" i="65"/>
  <c r="J93" i="65"/>
  <c r="K93" i="65" s="1"/>
  <c r="L93" i="65" s="1"/>
  <c r="M93" i="65" s="1"/>
  <c r="J102" i="84"/>
  <c r="K102" i="84" s="1"/>
  <c r="L102" i="84" s="1"/>
  <c r="J103" i="84" l="1"/>
  <c r="K103" i="84" s="1"/>
  <c r="L103" i="84" s="1"/>
  <c r="M103" i="84" s="1"/>
  <c r="M102" i="84"/>
  <c r="J94" i="65"/>
  <c r="K94" i="65" s="1"/>
  <c r="L94" i="65" s="1"/>
  <c r="J95" i="65" l="1"/>
  <c r="K95" i="65" s="1"/>
  <c r="L95" i="65" s="1"/>
  <c r="J96" i="65" s="1"/>
  <c r="K96" i="65" s="1"/>
  <c r="L96" i="65" s="1"/>
  <c r="M94" i="65"/>
  <c r="J104" i="84"/>
  <c r="K104" i="84" s="1"/>
  <c r="L104" i="84" s="1"/>
  <c r="M95" i="65" l="1"/>
  <c r="J105" i="84"/>
  <c r="M104" i="84"/>
  <c r="M96" i="65"/>
  <c r="J97" i="65"/>
  <c r="K97" i="65" s="1"/>
  <c r="L97" i="65" s="1"/>
  <c r="M97" i="65" l="1"/>
  <c r="J98" i="65"/>
  <c r="K98" i="65" s="1"/>
  <c r="L98" i="65" s="1"/>
  <c r="M98" i="65" s="1"/>
  <c r="K105" i="84"/>
  <c r="J4" i="84"/>
  <c r="J99" i="65" l="1"/>
  <c r="K99" i="65" s="1"/>
  <c r="L99" i="65" s="1"/>
  <c r="J100" i="65" s="1"/>
  <c r="K100" i="65" s="1"/>
  <c r="L100" i="65" s="1"/>
  <c r="K4" i="84"/>
  <c r="L105" i="84"/>
  <c r="M99" i="65" l="1"/>
  <c r="L4" i="84"/>
  <c r="M105" i="84"/>
  <c r="M100" i="65"/>
  <c r="J101" i="65"/>
  <c r="K101" i="65" s="1"/>
  <c r="L101" i="65" s="1"/>
  <c r="M101" i="65" s="1"/>
  <c r="M4" i="65" s="1"/>
  <c r="D56" i="76" s="1"/>
  <c r="J102" i="65" l="1"/>
  <c r="K102" i="65" s="1"/>
  <c r="L102" i="65" s="1"/>
  <c r="M102" i="65" s="1"/>
  <c r="J103" i="65" l="1"/>
  <c r="K103" i="65" s="1"/>
  <c r="L103" i="65" s="1"/>
  <c r="M103" i="65" s="1"/>
  <c r="J104" i="65" l="1"/>
  <c r="K104" i="65" s="1"/>
  <c r="L104" i="65" s="1"/>
  <c r="M104" i="65" s="1"/>
  <c r="J105" i="65" l="1"/>
  <c r="K105" i="65" l="1"/>
  <c r="J4" i="65"/>
  <c r="K4" i="65" l="1"/>
  <c r="L105" i="65"/>
  <c r="L4" i="65" l="1"/>
  <c r="M105" i="6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tc={40C4B7E1-7628-4D05-9377-037874AA7275}</author>
  </authors>
  <commentList>
    <comment ref="B43" authorId="0" shapeId="0" xr:uid="{00000000-0006-0000-03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Bezeichnung als Hilfestellung</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tc={26AF8027-A15F-4AE1-BF07-30A3DAA4AFB6}</author>
  </authors>
  <commentList>
    <comment ref="B43" authorId="0" shapeId="0" xr:uid="{00000000-0006-0000-0C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Bezeichnung als Hilfestellung</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tc={0783CAEF-3287-41C1-9DB3-82F87F84C07D}</author>
  </authors>
  <commentList>
    <comment ref="B43" authorId="0" shapeId="0" xr:uid="{00000000-0006-0000-0D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Bezeichnung als Hilfestellung</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tc={F4CC7417-97F6-4079-BFAB-27E4056081C4}</author>
  </authors>
  <commentList>
    <comment ref="B43" authorId="0" shapeId="0" xr:uid="{00000000-0006-0000-0E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Bezeichnung als Hilfestellung</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tc={75A7E340-4F29-43ED-AE85-999A42B5E75B}</author>
  </authors>
  <commentList>
    <comment ref="O47" authorId="0" shapeId="0" xr:uid="{75A7E340-4F29-43ED-AE85-999A42B5E75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Erst Q1 und Q2 enthalten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tc={DE4C4B82-8D6B-47FA-A01F-FECF0BCC9ABE}</author>
  </authors>
  <commentList>
    <comment ref="B43" authorId="0" shapeId="0" xr:uid="{00000000-0006-0000-04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Bezeichnung als Hilfestellung</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tc={919B780E-728F-444F-8B11-DD7753F34771}</author>
  </authors>
  <commentList>
    <comment ref="B43" authorId="0" shapeId="0" xr:uid="{00000000-0006-0000-05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Bezeichnung als Hilfestellung</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tc={DFC1C07A-09FD-47C8-9BC4-B41A1F9D87C0}</author>
  </authors>
  <commentList>
    <comment ref="B43" authorId="0" shapeId="0" xr:uid="{00000000-0006-0000-06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Bezeichnung als Hilfestellung</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tc={980C4E81-0632-414B-85EA-3469D4488327}</author>
  </authors>
  <commentList>
    <comment ref="B43" authorId="0" shapeId="0" xr:uid="{00000000-0006-0000-07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Bezeichnung als Hilfestellung</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tc={9C25E715-45AC-4C9F-9064-FAD5EE58AFEC}</author>
  </authors>
  <commentList>
    <comment ref="B43" authorId="0" shapeId="0" xr:uid="{00000000-0006-0000-08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Bezeichnung als Hilfestellung</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tc={57C42B31-88FA-420D-9CB0-94E5F91D08A5}</author>
  </authors>
  <commentList>
    <comment ref="B43" authorId="0" shapeId="0" xr:uid="{00000000-0006-0000-09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Bezeichnung als Hilfestellung</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tc={479B5043-4358-45ED-9478-D1ADFDB357BE}</author>
  </authors>
  <commentList>
    <comment ref="B43" authorId="0" shapeId="0" xr:uid="{00000000-0006-0000-0A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Bezeichnung als Hilfestellung</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tc={DCB39679-0B5A-4238-8059-33401D3C4E85}</author>
  </authors>
  <commentList>
    <comment ref="B43" authorId="0" shapeId="0" xr:uid="{00000000-0006-0000-0B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Bezeichnung als Hilfestellung</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<sst xmlns="http://schemas.openxmlformats.org/spreadsheetml/2006/main" count="1714" uniqueCount="398">
  <si>
    <t>Adresse</t>
  </si>
  <si>
    <t>Jahr</t>
  </si>
  <si>
    <t>[kWh]</t>
  </si>
  <si>
    <t>Standort</t>
  </si>
  <si>
    <t>Eigennutzungsgrad</t>
  </si>
  <si>
    <t>%</t>
  </si>
  <si>
    <t>Degradation 
[%]</t>
  </si>
  <si>
    <t>Degradation pro Jahr</t>
  </si>
  <si>
    <t>% / Jahr</t>
  </si>
  <si>
    <t>Jahres Energieertrag
[kWh]</t>
  </si>
  <si>
    <t>Rückzahlung Einspeisung [CHF]</t>
  </si>
  <si>
    <t>Eigenverbrauch
[kWh]</t>
  </si>
  <si>
    <t>Eingesparter Bezug
[CHF]</t>
  </si>
  <si>
    <t>Cash Flow netto
[CHF]</t>
  </si>
  <si>
    <t>Kapital Entwicklung [CHF]</t>
  </si>
  <si>
    <t>Summe</t>
  </si>
  <si>
    <t>Payback
[nach Jahren]</t>
  </si>
  <si>
    <t>Amortisationszeit</t>
  </si>
  <si>
    <t>Kapital neg Entwicklung [CHF]</t>
  </si>
  <si>
    <t>Kapital pos Entwicklung [CHF]</t>
  </si>
  <si>
    <t>Bezeichnung</t>
  </si>
  <si>
    <t>Total</t>
  </si>
  <si>
    <t>Betriebsjahr</t>
  </si>
  <si>
    <t>[kWp]</t>
  </si>
  <si>
    <t>Projektname</t>
  </si>
  <si>
    <t>Gebäudeadresse</t>
  </si>
  <si>
    <t>Projektinformationen</t>
  </si>
  <si>
    <t>Netzversorger</t>
  </si>
  <si>
    <t>Leistung</t>
  </si>
  <si>
    <t>Ergebnis</t>
  </si>
  <si>
    <t>Investition</t>
  </si>
  <si>
    <t>Wartung und Unterhalt</t>
  </si>
  <si>
    <t>Bezugstarif</t>
  </si>
  <si>
    <t>Rückliefertarif</t>
  </si>
  <si>
    <t>CHF</t>
  </si>
  <si>
    <t>Rp./kWh</t>
  </si>
  <si>
    <t>Kapitalverzinsung</t>
  </si>
  <si>
    <t>Az.</t>
  </si>
  <si>
    <t>Neig.</t>
  </si>
  <si>
    <t>Module</t>
  </si>
  <si>
    <t>Leist.</t>
  </si>
  <si>
    <t>TF</t>
  </si>
  <si>
    <t>[kWh/kWp/a]</t>
  </si>
  <si>
    <t>[Stk.]</t>
  </si>
  <si>
    <t>[Wp]</t>
  </si>
  <si>
    <t>Jahre</t>
  </si>
  <si>
    <t>Anlagekosten</t>
  </si>
  <si>
    <t>Eigenverbrauch</t>
  </si>
  <si>
    <t>Anhang</t>
  </si>
  <si>
    <t>Modulleistung</t>
  </si>
  <si>
    <t>PV-Generator</t>
  </si>
  <si>
    <t>Modulorientierung</t>
  </si>
  <si>
    <t>Raster Azimut</t>
  </si>
  <si>
    <t>Raster Neigung</t>
  </si>
  <si>
    <t>°</t>
  </si>
  <si>
    <t>Länge</t>
  </si>
  <si>
    <t>Breite</t>
  </si>
  <si>
    <t>Randabstand</t>
  </si>
  <si>
    <t>Wp</t>
  </si>
  <si>
    <t>m</t>
  </si>
  <si>
    <t>CHF/kWp</t>
  </si>
  <si>
    <t>ckw</t>
  </si>
  <si>
    <t>ewl</t>
  </si>
  <si>
    <t>Systemdienstleistung</t>
  </si>
  <si>
    <t>KEV Abgabe</t>
  </si>
  <si>
    <t>Ersatztarif</t>
  </si>
  <si>
    <t>kWh/kWp</t>
  </si>
  <si>
    <t>Süd = 0° / Ost -90° / West 90° / Nord +/- 180°</t>
  </si>
  <si>
    <t>0° = Horizontal / 90° = Vertikal (Fassade)</t>
  </si>
  <si>
    <t>Bogenmass</t>
  </si>
  <si>
    <t>Abstandsfaktor</t>
  </si>
  <si>
    <t>Neigung (Bogenmass)</t>
  </si>
  <si>
    <t>Dachneigung in Hauptrichtung (Bogenmass)</t>
  </si>
  <si>
    <t>Dachneigung in Hauptrichtung (Grad)</t>
  </si>
  <si>
    <t>Ausrichtung (Bogenmass)</t>
  </si>
  <si>
    <t>Angaben Dachfläche</t>
  </si>
  <si>
    <t>Orient.</t>
  </si>
  <si>
    <t>Spez. Ertrag</t>
  </si>
  <si>
    <t>Zusammenstellung technische Daten</t>
  </si>
  <si>
    <t>Zeilenabstand</t>
  </si>
  <si>
    <t>Spaltenabstand</t>
  </si>
  <si>
    <t>Anordnung Querformat / Landscape</t>
  </si>
  <si>
    <t>Anordnung Hochformat / Portrait</t>
  </si>
  <si>
    <t>Rechenwert</t>
  </si>
  <si>
    <t>in Richtung (Grad)</t>
  </si>
  <si>
    <t>Berechneter Faktor</t>
  </si>
  <si>
    <t>[m]</t>
  </si>
  <si>
    <t>Abstände auf geneigter Dachfläche</t>
  </si>
  <si>
    <t>Nach Osten</t>
  </si>
  <si>
    <t>Nach Norden</t>
  </si>
  <si>
    <t>Nach Westen</t>
  </si>
  <si>
    <t>Objekt</t>
  </si>
  <si>
    <t>Nr.</t>
  </si>
  <si>
    <t>Bezeichnung Teilfläche</t>
  </si>
  <si>
    <t>Ausrichtung (Azimut)</t>
  </si>
  <si>
    <t>Dachneigung</t>
  </si>
  <si>
    <t>Dachfläche</t>
  </si>
  <si>
    <t>Max.</t>
  </si>
  <si>
    <t>PLZ Ort</t>
  </si>
  <si>
    <t>Stk.</t>
  </si>
  <si>
    <t>Kosten Total</t>
  </si>
  <si>
    <t>Nordmodule</t>
  </si>
  <si>
    <t>Referenzzinssatz</t>
  </si>
  <si>
    <t>Spezifischer Jahresertrag</t>
  </si>
  <si>
    <t>Hochformat</t>
  </si>
  <si>
    <t>Querformat</t>
  </si>
  <si>
    <t>Eingabewert</t>
  </si>
  <si>
    <t>Unterhaltskosten
[CHF]</t>
  </si>
  <si>
    <t>Auszahlung Förderbeitrag [CHF]</t>
  </si>
  <si>
    <t>Auszahlungszeitraum</t>
  </si>
  <si>
    <t>Zinskosten
[CHF]</t>
  </si>
  <si>
    <t>PV-Leistung</t>
  </si>
  <si>
    <t>Ertragsdaten</t>
  </si>
  <si>
    <t>Wirtschaftlichkeit bei Ausführung Maximalbelegung</t>
  </si>
  <si>
    <t>Höhe</t>
  </si>
  <si>
    <t xml:space="preserve">Abweichung gemäss Tabelle "Globalhorizontalstrahlung" </t>
  </si>
  <si>
    <t>Ausrichtungskorrigierter Spezifischer Ertrag</t>
  </si>
  <si>
    <t>Benutzerdefinierter Wert (Durch Bauherrschaft zu belegen)</t>
  </si>
  <si>
    <t>Rechenwert spezifischer Jahresertrag dieser Teilfläche</t>
  </si>
  <si>
    <t>Korrekturfaktor Ausrichtung</t>
  </si>
  <si>
    <t>Spez. Ertrag Horizontal</t>
  </si>
  <si>
    <t>Spez. Ertrag inkl. Ausrichtung</t>
  </si>
  <si>
    <t>Spez. Ertrag Rechenwert</t>
  </si>
  <si>
    <t>kWh/kWp/a</t>
  </si>
  <si>
    <t>Plan Dachübersicht mit eindeutiger Bezeichnung der Teilflächen</t>
  </si>
  <si>
    <t>Parameter Wirtschaftlichkeitsrechnung</t>
  </si>
  <si>
    <t>Ausführungsvariante</t>
  </si>
  <si>
    <r>
      <t>m</t>
    </r>
    <r>
      <rPr>
        <vertAlign val="superscript"/>
        <sz val="13"/>
        <color theme="1"/>
        <rFont val="Calibri"/>
        <family val="2"/>
        <scheme val="minor"/>
      </rPr>
      <t>2</t>
    </r>
  </si>
  <si>
    <t>Eigenschaften Dach</t>
  </si>
  <si>
    <t>Fläche</t>
  </si>
  <si>
    <t>[m2]</t>
  </si>
  <si>
    <t>Teilw. Gen. Flächen</t>
  </si>
  <si>
    <t>Max. gen. Flächen</t>
  </si>
  <si>
    <t>kWp</t>
  </si>
  <si>
    <t>kWh/m2</t>
  </si>
  <si>
    <t>Einheit</t>
  </si>
  <si>
    <t>Spezfischer Jahresertrag Rechenwert</t>
  </si>
  <si>
    <t>Standardeinstrahlung</t>
  </si>
  <si>
    <t>MWSt.</t>
  </si>
  <si>
    <t>exkl.</t>
  </si>
  <si>
    <t>inkl.</t>
  </si>
  <si>
    <t>Total Rückspeisung</t>
  </si>
  <si>
    <t>Produkt Energiebezug</t>
  </si>
  <si>
    <t>Leistung PV</t>
  </si>
  <si>
    <t>Referenzkosten PV</t>
  </si>
  <si>
    <t>Ausführung</t>
  </si>
  <si>
    <t>Gesetzliches Minimum</t>
  </si>
  <si>
    <t>CHF/Modul</t>
  </si>
  <si>
    <t>Spez. Ertrag Eingabe Bauherr</t>
  </si>
  <si>
    <t>Offerte Variante Maximal (inkl. Förderbeiträge)</t>
  </si>
  <si>
    <t>Offerte Variante Gesetzliches Minimum (inkl. Förderbeiträge)</t>
  </si>
  <si>
    <t>Spez. Ertrag Eingabe</t>
  </si>
  <si>
    <t>angep. Spez Ertrag</t>
  </si>
  <si>
    <t>Nachweis Einstrahlungswert auf horizontale Fläche (Tabellenblatt Datengrundlage)</t>
  </si>
  <si>
    <t>Ges. Min.</t>
  </si>
  <si>
    <t>Bez.</t>
  </si>
  <si>
    <t>Zusammenstellung Flächen im Anhang</t>
  </si>
  <si>
    <t>Basiswerte und Berechnungsgrundlagen</t>
  </si>
  <si>
    <t>Wert</t>
  </si>
  <si>
    <t>Quelle</t>
  </si>
  <si>
    <t>Wetterstation Luzern</t>
  </si>
  <si>
    <t>Tarife Energieversorger exkl. MWSt.</t>
  </si>
  <si>
    <t>Rückliefertarif Referenz</t>
  </si>
  <si>
    <t>Rahmenbedingungen Wirtschaftlichkeit</t>
  </si>
  <si>
    <t>Anlagelebensdauer (für Grafik)</t>
  </si>
  <si>
    <t>Tarif Unterhalt (exkl. MWSt.)</t>
  </si>
  <si>
    <t>Maximum</t>
  </si>
  <si>
    <t>Ausrichtung Blendgefahr</t>
  </si>
  <si>
    <t>Dokumenttitel</t>
  </si>
  <si>
    <t>MWSt. Satz</t>
  </si>
  <si>
    <t>Berechnung</t>
  </si>
  <si>
    <t>Basisdaten</t>
  </si>
  <si>
    <t>Ist MWSt</t>
  </si>
  <si>
    <t>Faktor MWSt.</t>
  </si>
  <si>
    <t>Zulässige Amortisationszeit</t>
  </si>
  <si>
    <t>Referenzkosten inkl. MWSt.</t>
  </si>
  <si>
    <t>Förderung pronovo</t>
  </si>
  <si>
    <t>Leistungsklasse</t>
  </si>
  <si>
    <t>Beitrag</t>
  </si>
  <si>
    <t>Förderung Stadt</t>
  </si>
  <si>
    <t>Fördersumme</t>
  </si>
  <si>
    <t>Förderbeitrag Bund (EIV)</t>
  </si>
  <si>
    <t>der Gesamtinvestition</t>
  </si>
  <si>
    <t>exkl. MWSt.</t>
  </si>
  <si>
    <t>Gesetzgeber</t>
  </si>
  <si>
    <t>HKN Tarif Schwellwert</t>
  </si>
  <si>
    <t>kVA</t>
  </si>
  <si>
    <t>Hilfszeile</t>
  </si>
  <si>
    <t>Formularversion</t>
  </si>
  <si>
    <t>Dachaufbauten</t>
  </si>
  <si>
    <t>Bedienung</t>
  </si>
  <si>
    <t xml:space="preserve">Sämtliche grün eingefärbte Zellen sind Basisdaten, die regelmässig angepasst werden sollen / dürfen. </t>
  </si>
  <si>
    <t xml:space="preserve">Weisse Zellen und die Struktur des Tabellenblattes dürfen nicht bearbeitet werden. </t>
  </si>
  <si>
    <t>Violette Zellen sollen nur bei strukturellem Bedarf bearbeitet werden.</t>
  </si>
  <si>
    <t>Einleitung</t>
  </si>
  <si>
    <t>Module Var. gesetzl. Minimum</t>
  </si>
  <si>
    <t>Module Var. techn. Vollbelegung</t>
  </si>
  <si>
    <t>technische Vollbelegung</t>
  </si>
  <si>
    <t>gesetzliches Minimum</t>
  </si>
  <si>
    <t>techn. Vollbelegung</t>
  </si>
  <si>
    <t>gesetzl. Minimum</t>
  </si>
  <si>
    <t>(+/- Abweichung von Norden 180°/-180°)</t>
  </si>
  <si>
    <t>Technisch mögliche Anzahl (Beachte Rahmenbedingungen)</t>
  </si>
  <si>
    <t>Maximale Anzahl damit Anlage noch wirtschaftlich ist</t>
  </si>
  <si>
    <t>Vorgehen</t>
  </si>
  <si>
    <t>Dateneingabe</t>
  </si>
  <si>
    <t>Pflichtfeld</t>
  </si>
  <si>
    <t>Einreichen</t>
  </si>
  <si>
    <t>Grundlagen</t>
  </si>
  <si>
    <t>optionale Anpassungen und Funktionsbeschreibungen</t>
  </si>
  <si>
    <t>Einstrahlung horizontale Fläche</t>
  </si>
  <si>
    <t>Neigung/Azimut</t>
  </si>
  <si>
    <t>Strahlungsdaten (Tabellenblatt "Datengrundlage"):</t>
  </si>
  <si>
    <t>Als Annahme wird die mittlere Einstrahlung auf die horizontale Fläche der Stadt Luzern verwendet. Die Strahlungsdaten auf die horizontale Fläche können vom Antragsteller überschrieben werden z.B. wenn der Horizont am Standort wesentlich vom Mittelwert abweicht. Die Angaben können in kWh/m2 oder in kWh/kWp (Auswahlliste) angegeben werden. Als Nachweis können Datenquellen wie beispielsweise der kantonale Solarkataster oder Meteodaten aus einer zuverlässigen Meteodatenbank angegeben werden.</t>
  </si>
  <si>
    <t>Wirtschaftlichkeit (Tabellenblatt "Datengrundlage"):</t>
  </si>
  <si>
    <t>Tarife Energieversorger (Tabellenblatt "Datengrundlage"):</t>
  </si>
  <si>
    <t>Modul und UK/Eigenschaften (Tabellenblatt "Datengrundlage"):</t>
  </si>
  <si>
    <t>Hilfsmittel Dachaufbauten (Tabellenblatt "TF (1-12)"):</t>
  </si>
  <si>
    <t>optionale Anpassung der Annahmen</t>
  </si>
  <si>
    <t>Kann die Anlage nicht innerhalb der Frist von 20 Jahren amortisiert werden, so gibt es zwei Möglichkeiten:
1. Die Anlage wird trotzdem gemäss der technischen Vollbelegung realisiert.
2. Es wird iterativ nach einer Anlagenvariante gesucht, welche dem gesetzlichen Minimum entspricht (maximale Anlagengrösse mit welcher eine Amortisation innerhalb der Frist von 20 Jahren möglich ist). Diese Variante wird in den Tabellenblättern "TF (1)-(12)" dann als gesetzlich minimale Variante zusätzlich eingetragen. Entsprechend sind auch zusätzliche Pläne als Beilage zu ergänzen.</t>
  </si>
  <si>
    <t>Der spezifische Jahresertrag pro Teilfläche kann auch mit einem Simulationstool ermittelt und pro Teilfläche überschrieben werden. Dies kann z.B. bei starker Verschattung durch nebenliegende Gebäude erfolgen. Als Nachweis ist jeweils ein Simulationsbericht vom Berechnungsprogramm abzugeben (z.B. PV Sol, PV GIS, BIM Solar etc.).</t>
  </si>
  <si>
    <t>EIV Pauschalbeitrag 2-5 kWp</t>
  </si>
  <si>
    <t xml:space="preserve">Das ausgefüllte Formular ist zusammen mit dem unten im Tabellenblatt "Bericht" definierten Anhang mit der Baueingabe an das Team Baugesuche  einzureichen. </t>
  </si>
  <si>
    <t>Allgemeines</t>
  </si>
  <si>
    <t>Das vorliegende Dokument beschreibt den aktuellen Stand der Praxis. Die Planungshilfen für die Luzerner Vollzugspraxis werden nach Bedarf aktualisiert. Sie tragen deshalb eine Versionsnummer. Die aktuellsten Versionen finden Sie auf der Webseite der Dienstabteilung Städtebau der Stadt Luzern unter: «Dokumente Baubewilligung».</t>
  </si>
  <si>
    <t>Letzte Revision</t>
  </si>
  <si>
    <t>Nächste Revision</t>
  </si>
  <si>
    <t>Eigenschaften Standardmodul</t>
  </si>
  <si>
    <t>Eigenschaften UK</t>
  </si>
  <si>
    <t>Modultyp</t>
  </si>
  <si>
    <t>Modulbezeichnung</t>
  </si>
  <si>
    <t>Modulpreis</t>
  </si>
  <si>
    <t>CHF/Stk.</t>
  </si>
  <si>
    <t>Eigenschaften Montage</t>
  </si>
  <si>
    <t>Gemäss Dachplan (ohne Abzüge für Aufbauten und Abstände)</t>
  </si>
  <si>
    <t>M.Typ</t>
  </si>
  <si>
    <t>Solarmarkt (Kosten +20% Marge)</t>
  </si>
  <si>
    <t>Sunage (Kosten +20% Marge)</t>
  </si>
  <si>
    <t xml:space="preserve">Für jede Teilfläche steht eine Tabelle für die Angaben zu Dachaufbauten zur Verfügung. Da es technisch nicht sinnvoll ist, Module direkt in den Schatten von Aufbauten zu stellen, darf die Verschattung der Objekt berücksichtigt werden. Dem Grundsatz nach kann auf der horizontalen Fläche gegen Norden maximal ein Bereich von der 3-fachen Höhe (kein Schatten bei einem Sonnenstand grösser 18°) und gegen Ost und West die 1-fache Höhe (kein Schatten bei einem Sonnenstand grösser 45°) als Verschattungsabstand von Modulen ausgenommen werden.
Gemäss diesem Grundsatz werden die Abstände für die ausgerichteten und geneigten Fächen als Hilfestellung berechnet. Diese Abstände können in die Pläne (Layouts) übernommen werden. Als maximale Werte gelten die Werte der horizontalen Fläche. </t>
  </si>
  <si>
    <t>Rahmenbedingungen</t>
  </si>
  <si>
    <t>In Berechnungen nicht implementiert</t>
  </si>
  <si>
    <t>https://www.bfe.admin.ch/bfe/de/home/foerderung/erneuerbare-energien/einmalverguetung.html</t>
  </si>
  <si>
    <t>Grundbeitrag (Fr.)</t>
  </si>
  <si>
    <t>Leistungsbeitrag (Fr./kW)</t>
  </si>
  <si>
    <t>≥100 kW</t>
  </si>
  <si>
    <t>Förderbeitrag PV-Anlage Pronovo</t>
  </si>
  <si>
    <t>Referenzkosten PV-Anlagen</t>
  </si>
  <si>
    <t>https://pubdb.bfe.admin.ch/de/publication/download/10552</t>
  </si>
  <si>
    <t>Abschlussbericht, 30. Juni 2021 Photovoltaikmarkt: Preisbeobachtungsstudie 2020</t>
  </si>
  <si>
    <t>Suchbegriff:</t>
  </si>
  <si>
    <t>Verordnung 730.03 über die Förderung der Produktion von Elektrizität aus erneuerbaren Energien (Energieförderungsverordnung, EnFV)</t>
  </si>
  <si>
    <t>unten: Trendkurve spezifische Kosten in Abhängigkeit der Anlageleistung:
(Material- &amp; Installationskosten enthalten / keine Planungshonorare enthalten)</t>
  </si>
  <si>
    <t>unten: Statistische Verteilung der spezifischen Kosten</t>
  </si>
  <si>
    <t>Globalstrahlung in Abhängigkeit der geografischen Ausrichtung</t>
  </si>
  <si>
    <t xml:space="preserve">Aus: </t>
  </si>
  <si>
    <t>"Photovoltaikanlagen Planung | Installation | Betrieb", Seite 89,  Christoph Bucher, ISBN: 978-3-905711-62-2</t>
  </si>
  <si>
    <t>Letzte Aktualisierung</t>
  </si>
  <si>
    <t>Aktualisierungs Intervall</t>
  </si>
  <si>
    <t>Referenz</t>
  </si>
  <si>
    <t>Bei Neudefinition bzw. gültigem Stand der Technikpapier Blendung von Energie Schweiz</t>
  </si>
  <si>
    <t>jährlich</t>
  </si>
  <si>
    <t>Überarbeitung</t>
  </si>
  <si>
    <t>Prüfen</t>
  </si>
  <si>
    <t>Aktualisieren</t>
  </si>
  <si>
    <t>Formel!</t>
  </si>
  <si>
    <t>(Energieförderungsverordnung, EnFV)</t>
  </si>
  <si>
    <t>vom 1. November 2017 (Stand am 1. Juli 2023)</t>
  </si>
  <si>
    <t>halbjährlich</t>
  </si>
  <si>
    <t>https://www.fedlex.admin.ch/eli/cc/2017/766/de#annex_2_1/lvl_u1/lvl_2</t>
  </si>
  <si>
    <t>Anhang 2.1, Absatz 2.9</t>
  </si>
  <si>
    <t>2–5 kW</t>
  </si>
  <si>
    <t>&gt;5 kW</t>
  </si>
  <si>
    <t>&lt;30 kW</t>
  </si>
  <si>
    <t>30–&lt;100 kW</t>
  </si>
  <si>
    <t>Photovoltaikmarkt-
Beobachtungsstudie (Anhang)</t>
  </si>
  <si>
    <t>https://www.ckw.ch/energie/strom/ruecklieferverguetung#die-ruecklieferverguetung</t>
  </si>
  <si>
    <t>https://www.ewl-luzern.ch/privatkunden/energie/strom/selber-produzieren/stromruecklieferung/</t>
  </si>
  <si>
    <t>Letzte Revision Basisdaten:</t>
  </si>
  <si>
    <t>Nächste Revision Basisdaten:</t>
  </si>
  <si>
    <t>Farbcode Eingabefelder:</t>
  </si>
  <si>
    <t>Förderbeitrag der Stadt Luzern</t>
  </si>
  <si>
    <t>Spezifischer Jahresertrag der Teilfläche</t>
  </si>
  <si>
    <t>1 Jahr</t>
  </si>
  <si>
    <t>Nach Bedarf</t>
  </si>
  <si>
    <t>Revision jährlich per Anfang Dezember</t>
  </si>
  <si>
    <t>ckw 2022</t>
  </si>
  <si>
    <t>ckw 2023</t>
  </si>
  <si>
    <t>ewl 2024</t>
  </si>
  <si>
    <t>Gemeindeabgaben + Stromreserve</t>
  </si>
  <si>
    <t>ckw 2024</t>
  </si>
  <si>
    <t xml:space="preserve"> </t>
  </si>
  <si>
    <t>bei ckw Rückwirkend!</t>
  </si>
  <si>
    <t>https://www.bfe.admin.ch/bfe/de/home/foerderung/erneuerbare-energien/einspeiseverguetung.html/</t>
  </si>
  <si>
    <t>https://www.ckw.ch/energie/strom/stromprodukte/privat</t>
  </si>
  <si>
    <t>Limit für höhere oder tiefere HKN Vergütung</t>
  </si>
  <si>
    <t>https://www.bwo.admin.ch/bwo/de/home/mietrecht/referenzzinssatz.html</t>
  </si>
  <si>
    <t>Eigenschaften satiniertes Modul</t>
  </si>
  <si>
    <t>Nachweis Eigennutzungsgrad</t>
  </si>
  <si>
    <t>Nachweis Tarif Unterhaltskosten</t>
  </si>
  <si>
    <t>https://www.stadtluzern.ch/dienstleistungeninformation/31</t>
  </si>
  <si>
    <t>Die Planungshilfe ist so aufgebaut, dass möglichst wenig Daten eingegeben werden müssen. Dazu werden vom Vollzug einige Annahmen vorgegeben. Diese Annahmen dürfen für den Nachweis ohne zusätzlichen Beleg direkt verwendet werden. Gehen die Annahmen zu Lasten des Antragssteller, können die wichtigsten Werte verändert werden. Für die Veränderung ist jeweils ein nachvollzieher Nachweis zu erbringen. Beispiel: die tatsächlichen Anlagekosten liegen höher als die Annahme - mit einem Unternehmerangebot können die höheren Anlagekosten nachgewiesen und in den Daten entsprechend überschrieben werden.</t>
  </si>
  <si>
    <t>Spezifischer Jahresertrag pro Teilfläche (Tabellenblätter "TF (1 - 12)"):</t>
  </si>
  <si>
    <t>Anhand der Modulleistung wird die gesamte Anlagenleistung berechnet.
Die Modul- und UK-Dimensionen sind die Grundlage zur Berechnung der erforderlichen minimalen Modulfeldgrössen (Siehe Tabellenblätter "Modulfeld Standard" und "Modulfeld Satin").</t>
  </si>
  <si>
    <t>Kosten (Tabellenblatt "Bericht"):</t>
  </si>
  <si>
    <t>Erforderliche Beilagen</t>
  </si>
  <si>
    <t>Differenz Modulkosten Standard zu satiniert</t>
  </si>
  <si>
    <t>Aufpreis satinierte Module</t>
  </si>
  <si>
    <t>Geplantes Datum Fertigstellung:</t>
  </si>
  <si>
    <t>Netzversorger:</t>
  </si>
  <si>
    <t>Berechnung 3 jahresdurchschnitt (Exkl. MWSt.)
(Einträge ältestes Jahr ersetzen)</t>
  </si>
  <si>
    <t>Die Parameter "Eigennutzungsgrad" und "Unterhaltskosten" können vom Antragsteller verändert werden. Für den Nachweis wird beim Eigennutzungsgrad eine Simulation erwartet. Bei einem Minergiebau muss der Eigennutzungsgrad z.B. mit dem Nachweistool PV-Opti von Minergie berechnet werden. Es sind auch andere Programme wie PV Sol, Poly Sun und weitere möglich. 
Für die Unterhaltskosten muss eine Unterhaltstabelle mit Kosten und Wartungsintervallen abgegeben werden.</t>
  </si>
  <si>
    <t>Kosten</t>
  </si>
  <si>
    <r>
      <t>MeinRegioStrom</t>
    </r>
    <r>
      <rPr>
        <sz val="9.5"/>
        <rFont val="Calibri"/>
        <family val="2"/>
        <scheme val="minor"/>
      </rPr>
      <t xml:space="preserve"> Ø 3 Jahre</t>
    </r>
  </si>
  <si>
    <r>
      <t xml:space="preserve">ewl Naturstrom </t>
    </r>
    <r>
      <rPr>
        <sz val="9.5"/>
        <color theme="1"/>
        <rFont val="Calibri"/>
        <family val="2"/>
      </rPr>
      <t>Ø 3 Jahre</t>
    </r>
  </si>
  <si>
    <t>HKN</t>
  </si>
  <si>
    <t xml:space="preserve">HKN </t>
  </si>
  <si>
    <r>
      <t xml:space="preserve">- Die Vollbelegungspflicht gilt für Um- und Neubauten ab einer Gesamtfläche des Daches von 25m2.
- Die Pflicht gilt für alle Dachflächen, welche Platz für 6 zusammenhängende Module in gleicher Orientierung bieten. Beispiele finden Sie auf den Tabellenblättern "Modulfeld Standard" und "Modulfeld Satin" für nördlich ausgerichtete Anlageteile.
- Die Pflicht gilt auch für nördlich ausgerichtete Dachflächen. 
- </t>
    </r>
    <r>
      <rPr>
        <b/>
        <sz val="12"/>
        <color theme="1"/>
        <rFont val="Calibri"/>
        <family val="2"/>
        <scheme val="minor"/>
      </rPr>
      <t>Aufgrund der Blendthematik sind für nördlich ausgerichtete Dachflächen satinierte Module zu verbauen.</t>
    </r>
    <r>
      <rPr>
        <sz val="12"/>
        <color theme="1"/>
        <rFont val="Calibri"/>
        <family val="2"/>
        <scheme val="minor"/>
      </rPr>
      <t xml:space="preserve"> Zusatzkosten für satinierte Module werden automatisch eingerechnet.
- </t>
    </r>
    <r>
      <rPr>
        <b/>
        <sz val="12"/>
        <color theme="1"/>
        <rFont val="Calibri"/>
        <family val="2"/>
        <scheme val="minor"/>
      </rPr>
      <t>Für die Beurteilung der Wirtschaftlichkeit werden ausschliesslich die Kosten für Aufdach-Anlagen berücksichtigt.</t>
    </r>
    <r>
      <rPr>
        <sz val="12"/>
        <color theme="1"/>
        <rFont val="Calibri"/>
        <family val="2"/>
        <scheme val="minor"/>
      </rPr>
      <t xml:space="preserve">
- Die Berechnungsgrundlagen können in einigen Punkten individuell angepasst werden. Für jede manuelle Eingabe eines Rechenwertes ist ein entsprechender Nachweis zu erbringen.</t>
    </r>
  </si>
  <si>
    <r>
      <t xml:space="preserve">Der Ablauf zum Ausfüllen des Exceltools erfolgt nach folgenden Schritten (Standardvorgehen):
1. Erstellen eines Dachplans mit Flächenbezeichnungen
2. Erstellen der Modullayouts pro Dachfläche </t>
    </r>
    <r>
      <rPr>
        <b/>
        <sz val="12"/>
        <color theme="1"/>
        <rFont val="Calibri"/>
        <family val="2"/>
        <scheme val="minor"/>
      </rPr>
      <t xml:space="preserve">als Aufdachanlage </t>
    </r>
    <r>
      <rPr>
        <sz val="12"/>
        <color theme="1"/>
        <rFont val="Calibri"/>
        <family val="2"/>
        <scheme val="minor"/>
      </rPr>
      <t>für die technisch maximale Belegung (Berücksichtigung der technischen Vorgaben)
3. Ausfüllen der Projektdaten im Tabellenblatt "Bericht"
4. Kontrolle der Moduldaten im Tabellenblatt "Datengrundlage"
5. Eingabe der Kenndaten (Fläche, Ausrichtung und Anzahl Module technische Vollbelegung) in den Tabellenblättern "TF (1)-(12)"
6. Im Tabellenblatt "Bericht" überprüfen, ob die Anlage innerhalb der definierten Amortisationszeit von 20 Jahren liegt
    (Indikator grüne Farbe in Zeile Amortisationszeit)</t>
    </r>
  </si>
  <si>
    <t>Die horizontalen Einstrahlungsdaten in kWh/m2 werden mit einem Performance Ratio von 0.82 in einen spezifischen Ertrag in kWh/m2 umgerechnet. Pro Teilfläche werden die horizontalen Strahlungswerte anhand der Ausrichtung umgerechnet. Siehe Tabellenblatt Anhang.</t>
  </si>
  <si>
    <r>
      <t xml:space="preserve">Die Anlagenkosten werden anhand der angegebenen Quelle in Abhängigkeit der Anlagenleistung berechnet. Nach Norden ausgerichtete Anlagenteile sind mit satinierten Modulen zu belegen. Der entsprechende Aufpreis wird dafür einkalkuliert. Für die Kostenberechnung wird immer von einer Aufdachanlage ausgegangen. Zusatzkosten für eine Dachintegration sind der Dachfunktionalität anzurechnen und können nicht geltend gemacht werden. Für eine Korrektur der Investitionskosten muss folglich der Nachweis durch eine detaillierte Kostenberechnung für eine </t>
    </r>
    <r>
      <rPr>
        <b/>
        <sz val="12"/>
        <color theme="1"/>
        <rFont val="Calibri"/>
        <family val="2"/>
        <scheme val="minor"/>
      </rPr>
      <t xml:space="preserve">Aufdachanlage </t>
    </r>
    <r>
      <rPr>
        <sz val="12"/>
        <color theme="1"/>
        <rFont val="Calibri"/>
        <family val="2"/>
        <scheme val="minor"/>
      </rPr>
      <t>erfolgen.
Die Fördergelder werden automatisch berechnet. Änderungen müssen mit einem entsprechenden Beleg oder Förderzusage nachgewiesen werden.</t>
    </r>
  </si>
  <si>
    <t>ewl 2025</t>
  </si>
  <si>
    <t>Konzessionsabgabe Luzern + Winterreserve</t>
  </si>
  <si>
    <t>https://pubdb.bfe.admin.ch/de/suche?keywords=&amp;q=Photovoltaikmarkt&amp;from=&amp;to=&amp;nr=</t>
  </si>
  <si>
    <t>Var Kosten</t>
  </si>
  <si>
    <t>Fest Kosten</t>
  </si>
  <si>
    <t>Im Tabellenblatt "Bericht" ist zu wählen, in welchem Versorgungsgebiet das Gebäude steht. Für die Wirtschaftlichkeitsrechnung wird der Durchschnitt vom Rückliefer- und Bezugstarif der letzten drei Jahre des gewählten Netzversorgers verwendet. Die eingesetzten Tarife werden über die gesamte Betriebszeit als konstant angenommen.</t>
  </si>
  <si>
    <t>Energiebezug EVU</t>
  </si>
  <si>
    <t>Netznutzung EVU</t>
  </si>
  <si>
    <t>EIV Pauschalbeitrag &gt; 5 kWp</t>
  </si>
  <si>
    <t>Anlageleistung ab</t>
  </si>
  <si>
    <t>bis</t>
  </si>
  <si>
    <t>gültig bei IBS ab</t>
  </si>
  <si>
    <t>Neigungswinkelbonus</t>
  </si>
  <si>
    <t xml:space="preserve">der EIV auf die gesamte Anlageleistung nach kEnG </t>
  </si>
  <si>
    <t>vermasste Pläne Teildach mit Modullayout Var. Gesetzliches Minimum (inkl. Bezeichnung, Fläche, Azimut &amp; Neigung)</t>
  </si>
  <si>
    <t>vermasste Pläne Teildach mit Modullayout Var. Maximal (inkl. Bezeichnung, Fläche, Azimut &amp; Neigung)</t>
  </si>
  <si>
    <t>Zuschlag Steil</t>
  </si>
  <si>
    <t>Zuschlag Nord</t>
  </si>
  <si>
    <r>
      <t>CHF/m</t>
    </r>
    <r>
      <rPr>
        <vertAlign val="superscript"/>
        <sz val="11"/>
        <color theme="1"/>
        <rFont val="Calibri"/>
        <family val="2"/>
        <scheme val="minor"/>
      </rPr>
      <t>2</t>
    </r>
  </si>
  <si>
    <t>nur bis zur Neigung vom Niegungswinkelbonus</t>
  </si>
  <si>
    <t>Total EIV Leistung</t>
  </si>
  <si>
    <t>Fassadenbonus Bund</t>
  </si>
  <si>
    <t>Föderbeitrag Bund Total</t>
  </si>
  <si>
    <t>Föderbeitrag Stadt (EF)</t>
  </si>
  <si>
    <t>Steil</t>
  </si>
  <si>
    <t>Nord</t>
  </si>
  <si>
    <t>Neigungswinkel Bonus Bund</t>
  </si>
  <si>
    <t>Förderbeitrag Stadt Total</t>
  </si>
  <si>
    <t>t.V.</t>
  </si>
  <si>
    <t>g.M.</t>
  </si>
  <si>
    <t>Förderzuschläge</t>
  </si>
  <si>
    <t>Fassadenbonus pronovo</t>
  </si>
  <si>
    <t>Zuschlag Neigungswinkel EF</t>
  </si>
  <si>
    <t>CHF für techn. Vollbelegung</t>
  </si>
  <si>
    <t>CHF für gesetzl. Minimum</t>
  </si>
  <si>
    <t>Neue Parkplatzüberdachung</t>
  </si>
  <si>
    <t>Dauerhaftes, bisher unüberdachtes Parkplatzareal</t>
  </si>
  <si>
    <t>Ja</t>
  </si>
  <si>
    <t>Nein</t>
  </si>
  <si>
    <t>Parkplatzbonus pronovo</t>
  </si>
  <si>
    <t>Parkplatzbonus</t>
  </si>
  <si>
    <t>Parkplatzbonus Bund</t>
  </si>
  <si>
    <t>Zu.Neig</t>
  </si>
  <si>
    <t>Zu.Nord</t>
  </si>
  <si>
    <t>PP.Bo</t>
  </si>
  <si>
    <t>Fass.Bo</t>
  </si>
  <si>
    <t>PP.</t>
  </si>
  <si>
    <t>Tarifblatt Rückspeisevergütung Ø 3 Jahre</t>
  </si>
  <si>
    <r>
      <t>Referenz Marktpreis nach Art. 15, EnFV (</t>
    </r>
    <r>
      <rPr>
        <sz val="11"/>
        <color theme="1"/>
        <rFont val="Calibri"/>
        <family val="2"/>
      </rPr>
      <t>Ø 4 Jahre</t>
    </r>
    <r>
      <rPr>
        <sz val="11"/>
        <color theme="1"/>
        <rFont val="Calibri"/>
        <family val="2"/>
        <scheme val="minor"/>
      </rPr>
      <t>)</t>
    </r>
  </si>
  <si>
    <t>durch Plan-E (Anpassung an KEnG)</t>
  </si>
  <si>
    <t xml:space="preserve">Die Planungshilfe dient als Vollzugshilfe von Art. 77 Abs. 3 und 4 BZR der Stadt Luzern für Photovoltaik-Anlagen auf Schrägdächern. Mit der Planungshilfe wird der Nachweis über die Anforderung der energetischen Nutzung erbracht. Schrägdächer von Neubauten und von erheblich geänderten Bauten ab einer Grösse von 25 m2 müssen vollflächig mit einer Photovoltaik-Anlage und/oder einer thermischen Solaranlage belegt werden. Ausgenommen werden Teilflächen für Photovoltaik-Anlagen, die zu einer wirtschaftlichen Unverhältnismässigkeit führen. Wirtschaftlich unverhältnismässig sind Investitionen in Teilflächen, wenn sich dadurch die Amortisationszeit für die ganze Photovoltaik-Anlage auf mehr als 20 Jahre erhöht.
Das kantonale Recht (KEnG § 15 und KEnV § 13 bis 15) verlangt die Eigenstromerzeugung bei Neu- und Bestandesbauten und stellt auch alle Objekte mit Schutzanforderungen unter die Eigenstromerzeugungspflicht. Die kantonale Dienststelle Umwelt und Energie kann jedoch Erleichterungen oder Ausnahmen gewähren, wenn in Folge Schutzauflagen bei Aussenteilen eine Elektrizitätserzeugungsanlage nicht möglich ist (§ 15 Abs. 1ter KEnG) ist. Dieses übergeordnete Recht ist zwingend einzuhalten. Die kommunale Regelung gemäss Art. 77 BZR gilt ergänzend zum kantonalen Recht und die jeweils strengere Regel wird angewendet. </t>
  </si>
  <si>
    <t>LONGi Hi-MO X10 Explorer LR7-54HVH-485M</t>
  </si>
  <si>
    <t>Einkaufspreis</t>
  </si>
  <si>
    <t>SoliTek SOLID Bifacial Doppelglas Framed Full black Anti-Glare 425W - (FB, R35, EVO2)</t>
  </si>
  <si>
    <t>pro</t>
  </si>
  <si>
    <t>%/25J</t>
  </si>
  <si>
    <t>ckw 2026</t>
  </si>
  <si>
    <t>ewl 2026</t>
  </si>
  <si>
    <t>Einmalvergütung durch Pronovo ohne div. Bonus</t>
  </si>
  <si>
    <t>Breite (blendarm)</t>
  </si>
  <si>
    <t>Modulpreis (blendarm)</t>
  </si>
  <si>
    <t>Eigenschaften blendarmes Modul</t>
  </si>
  <si>
    <t>Modulbezeichnung (blendarm)</t>
  </si>
  <si>
    <t>Modulleistung (blendarm)</t>
  </si>
  <si>
    <t>Länge (blendarm)</t>
  </si>
  <si>
    <t>Aufpreis blendarm</t>
  </si>
  <si>
    <t>Leistungsgarantie Lieferant (blendarm)</t>
  </si>
  <si>
    <t>Leistungsgarantie Lieferant</t>
  </si>
  <si>
    <t>Leistungsgarantie % nach 25 J.</t>
  </si>
  <si>
    <t>Leistungsgarantie % nach 25 J. (blendarm)</t>
  </si>
  <si>
    <t>Bild: Seite 17 Photovoltaikmarkt Preisbeobachtungsstudie</t>
  </si>
  <si>
    <t>ckw 2025</t>
  </si>
  <si>
    <t>Versionsverlauf</t>
  </si>
  <si>
    <t>V2.5</t>
  </si>
  <si>
    <t>2.5</t>
  </si>
  <si>
    <t>V2.4</t>
  </si>
  <si>
    <t>Anpassung auf Rückliefertarif nach EnV
Wurde nicht freigegeben. Stadt entscheidet, welcher Tarif für Wirtschaftlichkeit verwendet werden soll.</t>
  </si>
  <si>
    <t>Anpassung Förderbeitrag Nord (bleibt Nord) von 625.- auf 300.-
Vollständiger Rückliefertarif ckw für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</si>
</sst>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000"/>
    <numFmt numFmtId="166" formatCode="dd/mm/yy;@"/>
    <numFmt numFmtId="167" formatCode="#,##0\ &quot;kWp&quot;"/>
    <numFmt numFmtId="168" formatCode="#,##0\ &quot;CHF/kWp&quot;"/>
    <numFmt numFmtId="169" formatCode="#,##0\ &quot;CHF&quot;"/>
    <numFmt numFmtId="170" formatCode="#,##0&quot;°&quot;"/>
    <numFmt numFmtId="171" formatCode="dd/mm/yyyy;@"/>
    <numFmt numFmtId="172" formatCode="0.000"/>
    <numFmt numFmtId="173" formatCode="#,##0\ &quot;°&quot;"/>
  </numFmts>
  <fonts count="40">
    <font>
      <sz val="11"/>
      <color theme="1"/>
      <name val="Calibri"/>
      <family val="2"/>
      <scheme val="minor"/>
    </font>
    <font>
      <b/>
      <sz val="11"/>
      <color theme="1"/>
      <name val="Calibri"/>
      <family val="2"/>
      <scheme val="minor"/>
    </font>
    <font>
      <sz val="10"/>
      <name val="Geneva"/>
    </font>
    <font>
      <sz val="11"/>
      <color rgb="FF3F3F76"/>
      <name val="Calibri"/>
      <family val="2"/>
      <scheme val="minor"/>
    </font>
    <font>
      <b/>
      <sz val="11"/>
      <color rgb="FF3F3F3F"/>
      <name val="Calibri"/>
      <family val="2"/>
      <scheme val="minor"/>
    </font>
    <font>
      <b/>
      <sz val="11"/>
      <color rgb="FFFA7D00"/>
      <name val="Calibri"/>
      <family val="2"/>
      <scheme val="minor"/>
    </font>
    <font>
      <sz val="20"/>
      <color theme="1"/>
      <name val="Calibri"/>
      <family val="2"/>
      <scheme val="minor"/>
    </font>
    <font>
      <sz val="11"/>
      <color rgb="FF006100"/>
      <name val="Calibri"/>
      <family val="2"/>
      <scheme val="minor"/>
    </font>
    <font>
      <sz val="11"/>
      <color rgb="FF9C0006"/>
      <name val="Calibri"/>
      <family val="2"/>
      <scheme val="minor"/>
    </font>
    <font>
      <sz val="16"/>
      <color theme="1"/>
      <name val="Calibri"/>
      <family val="2"/>
      <scheme val="minor"/>
    </font>
    <font>
      <sz val="11"/>
      <color theme="0"/>
      <name val="Calibri"/>
      <family val="2"/>
      <scheme val="minor"/>
    </font>
    <font>
      <sz val="13"/>
      <color theme="1"/>
      <name val="Calibri"/>
      <family val="2"/>
      <scheme val="minor"/>
    </font>
    <font>
      <sz val="13"/>
      <name val="Calibri"/>
      <family val="2"/>
      <scheme val="minor"/>
    </font>
    <font>
      <sz val="13"/>
      <color rgb="FF3F3F3F"/>
      <name val="Calibri"/>
      <family val="2"/>
      <scheme val="minor"/>
    </font>
    <font>
      <sz val="13"/>
      <color rgb="FF3F3F76"/>
      <name val="Calibri"/>
      <family val="2"/>
      <scheme val="minor"/>
    </font>
    <font>
      <b/>
      <sz val="13"/>
      <color theme="1"/>
      <name val="Calibri"/>
      <family val="2"/>
      <scheme val="minor"/>
    </font>
    <font>
      <b/>
      <sz val="13"/>
      <name val="Calibri"/>
      <family val="2"/>
      <scheme val="minor"/>
    </font>
    <font>
      <b/>
      <sz val="13"/>
      <color rgb="FFFA7D00"/>
      <name val="Calibri"/>
      <family val="2"/>
      <scheme val="minor"/>
    </font>
    <font>
      <sz val="10"/>
      <color theme="1"/>
      <name val="Calibri"/>
      <family val="2"/>
      <scheme val="minor"/>
    </font>
    <font>
      <vertAlign val="superscript"/>
      <sz val="13"/>
      <color theme="1"/>
      <name val="Calibri"/>
      <family val="2"/>
      <scheme val="minor"/>
    </font>
    <font>
      <sz val="13"/>
      <color theme="0"/>
      <name val="Calibri"/>
      <family val="2"/>
      <scheme val="minor"/>
    </font>
    <font>
      <sz val="10"/>
      <color theme="0"/>
      <name val="Calibri"/>
      <family val="2"/>
      <scheme val="minor"/>
    </font>
    <font>
      <sz val="11"/>
      <color rgb="FFFF0000"/>
      <name val="Calibri"/>
      <family val="2"/>
      <scheme val="minor"/>
    </font>
    <font>
      <sz val="1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u/>
      <sz val="11"/>
      <color theme="10"/>
      <name val="Calibri"/>
      <family val="2"/>
      <scheme val="minor"/>
    </font>
    <font>
      <sz val="36"/>
      <color theme="1"/>
      <name val="Calibri"/>
      <family val="2"/>
      <scheme val="minor"/>
    </font>
    <font>
      <b/>
      <sz val="12"/>
      <color theme="1"/>
      <name val="Calibri"/>
      <family val="2"/>
      <scheme val="minor"/>
    </font>
    <font>
      <sz val="11"/>
      <color theme="1"/>
      <name val="Calibri"/>
      <family val="2"/>
    </font>
    <font>
      <sz val="8"/>
      <name val="Calibri"/>
      <family val="2"/>
      <scheme val="minor"/>
    </font>
    <font>
      <sz val="12"/>
      <name val="Calibri"/>
      <family val="2"/>
      <scheme val="minor"/>
    </font>
    <font>
      <sz val="9.5"/>
      <name val="Calibri"/>
      <family val="2"/>
      <scheme val="minor"/>
    </font>
    <font>
      <sz val="9.5"/>
      <color theme="1"/>
      <name val="Calibri"/>
      <family val="2"/>
    </font>
    <font>
      <u/>
      <sz val="12"/>
      <color theme="10"/>
      <name val="Calibri"/>
      <family val="2"/>
      <scheme val="minor"/>
    </font>
    <font>
      <sz val="14"/>
      <color theme="1"/>
      <name val="Calibri"/>
      <family val="2"/>
      <scheme val="minor"/>
    </font>
    <font>
      <sz val="11"/>
      <color rgb="FF00B050"/>
      <name val="Calibri"/>
      <family val="2"/>
      <scheme val="minor"/>
    </font>
    <font>
      <vertAlign val="superscript"/>
      <sz val="11"/>
      <color theme="1"/>
      <name val="Calibri"/>
      <family val="2"/>
      <scheme val="minor"/>
    </font>
    <font>
      <b/>
      <sz val="13"/>
      <color rgb="FF3F3F76"/>
      <name val="Calibri"/>
      <family val="2"/>
      <scheme val="minor"/>
    </font>
  </fonts>
  <fills count="16">
    <fill>
      <patternFill patternType="none"/>
    </fill>
    <fill>
      <patternFill patternType="gray125"/>
    </fill>
    <fill>
      <patternFill patternType="solid">
        <fgColor rgb="FFFFCC99"/>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FFFF99"/>
        <bgColor indexed="64"/>
      </patternFill>
    </fill>
    <fill>
      <patternFill patternType="solid">
        <fgColor theme="0"/>
        <bgColor indexed="64"/>
      </patternFill>
    </fill>
    <fill>
      <patternFill patternType="solid">
        <fgColor rgb="FFFFFF66"/>
        <bgColor indexed="64"/>
      </patternFill>
    </fill>
    <fill>
      <patternFill patternType="solid">
        <fgColor theme="6" tint="0.39997558519241921"/>
        <bgColor indexed="64"/>
      </patternFill>
    </fill>
  </fills>
  <borders count="147">
    <border>
      <left/>
      <right/>
      <top/>
      <bottom/>
      <diagonal/>
    </border>
    <border>
      <left/>
      <right/>
      <top style="thin">
        <color indexed="64"/>
      </top>
      <bottom/>
      <diagonal/>
    </border>
    <border>
      <left/>
      <right/>
      <top/>
      <bottom style="thin">
        <color indexed="64"/>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style="thin">
        <color auto="1"/>
      </left>
      <right/>
      <top style="hair">
        <color auto="1"/>
      </top>
      <bottom style="hair">
        <color auto="1"/>
      </bottom>
      <diagonal/>
    </border>
    <border>
      <left/>
      <right style="hair">
        <color auto="1"/>
      </right>
      <top style="hair">
        <color auto="1"/>
      </top>
      <bottom style="hair">
        <color auto="1"/>
      </bottom>
      <diagonal/>
    </border>
    <border>
      <left style="thin">
        <color auto="1"/>
      </left>
      <right/>
      <top style="hair">
        <color auto="1"/>
      </top>
      <bottom style="thin">
        <color auto="1"/>
      </bottom>
      <diagonal/>
    </border>
    <border>
      <left/>
      <right style="hair">
        <color auto="1"/>
      </right>
      <top style="hair">
        <color auto="1"/>
      </top>
      <bottom style="thin">
        <color auto="1"/>
      </bottom>
      <diagonal/>
    </border>
    <border>
      <left/>
      <right/>
      <top/>
      <bottom style="hair">
        <color auto="1"/>
      </bottom>
      <diagonal/>
    </border>
    <border>
      <left/>
      <right/>
      <top style="thin">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right style="thin">
        <color indexed="64"/>
      </right>
      <top style="thin">
        <color indexed="64"/>
      </top>
      <bottom style="hair">
        <color indexed="64"/>
      </bottom>
      <diagonal/>
    </border>
    <border>
      <left/>
      <right/>
      <top style="hair">
        <color auto="1"/>
      </top>
      <bottom style="hair">
        <color indexed="64"/>
      </bottom>
      <diagonal/>
    </border>
    <border>
      <left/>
      <right style="thin">
        <color indexed="64"/>
      </right>
      <top style="hair">
        <color auto="1"/>
      </top>
      <bottom style="hair">
        <color indexed="64"/>
      </bottom>
      <diagonal/>
    </border>
    <border>
      <left/>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bottom style="hair">
        <color auto="1"/>
      </bottom>
      <diagonal/>
    </border>
    <border>
      <left/>
      <right style="hair">
        <color auto="1"/>
      </right>
      <top/>
      <bottom/>
      <diagonal/>
    </border>
    <border>
      <left style="hair">
        <color auto="1"/>
      </left>
      <right style="hair">
        <color auto="1"/>
      </right>
      <top/>
      <bottom/>
      <diagonal/>
    </border>
    <border>
      <left style="hair">
        <color auto="1"/>
      </left>
      <right style="hair">
        <color indexed="64"/>
      </right>
      <top/>
      <bottom style="thin">
        <color auto="1"/>
      </bottom>
      <diagonal/>
    </border>
    <border>
      <left/>
      <right style="hair">
        <color auto="1"/>
      </right>
      <top/>
      <bottom style="thin">
        <color auto="1"/>
      </bottom>
      <diagonal/>
    </border>
    <border>
      <left style="hair">
        <color auto="1"/>
      </left>
      <right/>
      <top/>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diagonal/>
    </border>
    <border>
      <left/>
      <right/>
      <top style="medium">
        <color indexed="64"/>
      </top>
      <bottom style="thin">
        <color auto="1"/>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hair">
        <color indexed="64"/>
      </top>
      <bottom style="medium">
        <color indexed="64"/>
      </bottom>
      <diagonal/>
    </border>
    <border>
      <left/>
      <right style="hair">
        <color auto="1"/>
      </right>
      <top style="hair">
        <color indexed="64"/>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top style="medium">
        <color indexed="64"/>
      </top>
      <bottom/>
      <diagonal/>
    </border>
    <border>
      <left style="hair">
        <color auto="1"/>
      </left>
      <right style="hair">
        <color auto="1"/>
      </right>
      <top style="thin">
        <color auto="1"/>
      </top>
      <bottom style="medium">
        <color indexed="64"/>
      </bottom>
      <diagonal/>
    </border>
    <border>
      <left style="medium">
        <color indexed="64"/>
      </left>
      <right style="hair">
        <color indexed="64"/>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auto="1"/>
      </bottom>
      <diagonal/>
    </border>
    <border>
      <left style="medium">
        <color indexed="64"/>
      </left>
      <right/>
      <top style="hair">
        <color indexed="64"/>
      </top>
      <bottom style="thin">
        <color auto="1"/>
      </bottom>
      <diagonal/>
    </border>
    <border>
      <left style="medium">
        <color indexed="64"/>
      </left>
      <right style="hair">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hair">
        <color indexed="64"/>
      </right>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right style="hair">
        <color indexed="64"/>
      </right>
      <top style="medium">
        <color indexed="64"/>
      </top>
      <bottom/>
      <diagonal/>
    </border>
    <border>
      <left style="hair">
        <color auto="1"/>
      </left>
      <right/>
      <top style="medium">
        <color indexed="64"/>
      </top>
      <bottom style="thin">
        <color auto="1"/>
      </bottom>
      <diagonal/>
    </border>
    <border>
      <left/>
      <right/>
      <top style="thin">
        <color auto="1"/>
      </top>
      <bottom style="medium">
        <color indexed="64"/>
      </bottom>
      <diagonal/>
    </border>
    <border>
      <left style="hair">
        <color auto="1"/>
      </left>
      <right/>
      <top style="thin">
        <color auto="1"/>
      </top>
      <bottom style="medium">
        <color indexed="64"/>
      </bottom>
      <diagonal/>
    </border>
    <border>
      <left/>
      <right style="hair">
        <color auto="1"/>
      </right>
      <top style="thin">
        <color auto="1"/>
      </top>
      <bottom style="medium">
        <color indexed="64"/>
      </bottom>
      <diagonal/>
    </border>
    <border>
      <left/>
      <right style="medium">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auto="1"/>
      </left>
      <right/>
      <top/>
      <bottom style="thin">
        <color auto="1"/>
      </bottom>
      <diagonal/>
    </border>
    <border>
      <left style="hair">
        <color auto="1"/>
      </left>
      <right style="thin">
        <color auto="1"/>
      </right>
      <top style="medium">
        <color indexed="64"/>
      </top>
      <bottom style="thin">
        <color indexed="64"/>
      </bottom>
      <diagonal/>
    </border>
    <border>
      <left style="thin">
        <color auto="1"/>
      </left>
      <right/>
      <top/>
      <bottom style="hair">
        <color auto="1"/>
      </bottom>
      <diagonal/>
    </border>
    <border>
      <left style="thin">
        <color indexed="64"/>
      </left>
      <right/>
      <top/>
      <bottom/>
      <diagonal/>
    </border>
    <border>
      <left/>
      <right style="thin">
        <color indexed="64"/>
      </right>
      <top/>
      <bottom style="hair">
        <color indexed="64"/>
      </bottom>
      <diagonal/>
    </border>
    <border>
      <left style="thin">
        <color auto="1"/>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hair">
        <color auto="1"/>
      </right>
      <top style="medium">
        <color indexed="64"/>
      </top>
      <bottom style="thin">
        <color indexed="64"/>
      </bottom>
      <diagonal/>
    </border>
    <border>
      <left/>
      <right style="thin">
        <color indexed="64"/>
      </right>
      <top style="hair">
        <color auto="1"/>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right style="thin">
        <color auto="1"/>
      </right>
      <top style="thin">
        <color auto="1"/>
      </top>
      <bottom style="medium">
        <color indexed="64"/>
      </bottom>
      <diagonal/>
    </border>
    <border>
      <left style="hair">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style="medium">
        <color indexed="64"/>
      </right>
      <top style="thin">
        <color auto="1"/>
      </top>
      <bottom style="thin">
        <color indexed="64"/>
      </bottom>
      <diagonal/>
    </border>
    <border>
      <left/>
      <right style="medium">
        <color indexed="64"/>
      </right>
      <top style="thin">
        <color indexed="64"/>
      </top>
      <bottom style="medium">
        <color indexed="64"/>
      </bottom>
      <diagonal/>
    </border>
    <border>
      <left/>
      <right style="hair">
        <color auto="1"/>
      </right>
      <top style="thin">
        <color auto="1"/>
      </top>
      <bottom style="thin">
        <color auto="1"/>
      </bottom>
      <diagonal/>
    </border>
    <border>
      <left style="thin">
        <color indexed="64"/>
      </left>
      <right/>
      <top style="thin">
        <color auto="1"/>
      </top>
      <bottom style="thin">
        <color auto="1"/>
      </bottom>
      <diagonal/>
    </border>
    <border>
      <left style="thin">
        <color auto="1"/>
      </left>
      <right/>
      <top style="thin">
        <color auto="1"/>
      </top>
      <bottom style="medium">
        <color indexed="64"/>
      </bottom>
      <diagonal/>
    </border>
    <border>
      <left/>
      <right style="thin">
        <color indexed="64"/>
      </right>
      <top style="medium">
        <color indexed="64"/>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top/>
      <bottom style="hair">
        <color auto="1"/>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thin">
        <color indexed="64"/>
      </right>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bottom style="medium">
        <color indexed="64"/>
      </bottom>
      <diagonal/>
    </border>
    <border>
      <left style="medium">
        <color indexed="64"/>
      </left>
      <right style="hair">
        <color indexed="64"/>
      </right>
      <top style="hair">
        <color indexed="64"/>
      </top>
      <bottom/>
      <diagonal/>
    </border>
    <border>
      <left style="hair">
        <color auto="1"/>
      </left>
      <right/>
      <top style="hair">
        <color auto="1"/>
      </top>
      <bottom/>
      <diagonal/>
    </border>
    <border>
      <left/>
      <right style="thin">
        <color indexed="64"/>
      </right>
      <top style="hair">
        <color auto="1"/>
      </top>
      <bottom/>
      <diagonal/>
    </border>
    <border>
      <left/>
      <right style="medium">
        <color indexed="64"/>
      </right>
      <top style="hair">
        <color indexed="64"/>
      </top>
      <bottom/>
      <diagonal/>
    </border>
    <border>
      <left/>
      <right style="hair">
        <color auto="1"/>
      </right>
      <top/>
      <bottom style="hair">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8">
    <xf numFmtId="0" fontId="0" fillId="0" borderId="0"/>
    <xf numFmtId="0" fontId="2" fillId="0" borderId="0"/>
    <xf numFmtId="0" fontId="3" fillId="2" borderId="30" applyNumberFormat="0" applyAlignment="0" applyProtection="0"/>
    <xf numFmtId="0" fontId="4" fillId="3" borderId="31" applyNumberFormat="0" applyAlignment="0" applyProtection="0"/>
    <xf numFmtId="0" fontId="5" fillId="3" borderId="30" applyNumberFormat="0" applyAlignment="0" applyProtection="0"/>
    <xf numFmtId="0" fontId="7" fillId="4" borderId="0" applyNumberFormat="0" applyBorder="0" applyAlignment="0" applyProtection="0"/>
    <xf numFmtId="0" fontId="8" fillId="5" borderId="0" applyNumberFormat="0" applyBorder="0" applyAlignment="0" applyProtection="0"/>
    <xf numFmtId="0" fontId="27" fillId="0" borderId="0" applyNumberFormat="0" applyFill="0" applyBorder="0" applyAlignment="0" applyProtection="0"/>
  </cellStyleXfs>
  <cellXfs count="728">
    <xf numFmtId="0" fontId="0" fillId="0" borderId="0" xfId="0"/>
    <xf numFmtId="0" fontId="0" fillId="0" borderId="0" xfId="0" applyAlignment="1">
      <alignment vertical="top"/>
    </xf>
    <xf numFmtId="2" fontId="0" fillId="0" borderId="0" xfId="0" applyNumberFormat="1"/>
    <xf numFmtId="164" fontId="0" fillId="0" borderId="0" xfId="0" applyNumberFormat="1"/>
    <xf numFmtId="3" fontId="0" fillId="0" borderId="0" xfId="0" applyNumberFormat="1"/>
    <xf numFmtId="0" fontId="0" fillId="0" borderId="29" xfId="0" applyBorder="1"/>
    <xf numFmtId="3" fontId="0" fillId="0" borderId="1" xfId="0" applyNumberFormat="1" applyBorder="1"/>
    <xf numFmtId="0" fontId="0" fillId="0" borderId="0" xfId="0" applyAlignment="1">
      <alignment wrapText="1"/>
    </xf>
    <xf numFmtId="0" fontId="0" fillId="0" borderId="32" xfId="0" applyBorder="1"/>
    <xf numFmtId="0" fontId="6" fillId="0" borderId="0" xfId="0" applyFont="1"/>
    <xf numFmtId="0" fontId="1" fillId="0" borderId="0" xfId="0" applyFont="1" applyAlignment="1">
      <alignment horizontal="left" vertical="top" wrapText="1"/>
    </xf>
    <xf numFmtId="0" fontId="1" fillId="0" borderId="34" xfId="0" applyFont="1" applyBorder="1"/>
    <xf numFmtId="0" fontId="1" fillId="0" borderId="33" xfId="0" applyFont="1" applyBorder="1" applyAlignment="1">
      <alignment vertical="center"/>
    </xf>
    <xf numFmtId="3" fontId="1" fillId="0" borderId="33" xfId="0" applyNumberFormat="1" applyFont="1" applyBorder="1" applyAlignment="1">
      <alignment vertical="center"/>
    </xf>
    <xf numFmtId="0" fontId="0" fillId="0" borderId="37" xfId="0" applyBorder="1"/>
    <xf numFmtId="0" fontId="0" fillId="0" borderId="38" xfId="0" applyBorder="1"/>
    <xf numFmtId="0" fontId="0" fillId="0" borderId="39" xfId="0" applyBorder="1"/>
    <xf numFmtId="0" fontId="0" fillId="0" borderId="40" xfId="0" applyBorder="1"/>
    <xf numFmtId="0" fontId="9" fillId="0" borderId="41" xfId="0" applyFont="1" applyBorder="1"/>
    <xf numFmtId="0" fontId="9" fillId="0" borderId="42" xfId="0" applyFont="1" applyBorder="1"/>
    <xf numFmtId="0" fontId="9" fillId="0" borderId="43" xfId="0" applyFont="1" applyBorder="1"/>
    <xf numFmtId="0" fontId="9" fillId="0" borderId="0" xfId="0" applyFont="1"/>
    <xf numFmtId="0" fontId="0" fillId="0" borderId="0" xfId="0" applyAlignment="1">
      <alignment horizontal="center"/>
    </xf>
    <xf numFmtId="0" fontId="0" fillId="6" borderId="0" xfId="0" applyFill="1"/>
    <xf numFmtId="0" fontId="0" fillId="0" borderId="76" xfId="0" applyBorder="1"/>
    <xf numFmtId="0" fontId="0" fillId="0" borderId="1" xfId="0" applyBorder="1"/>
    <xf numFmtId="0" fontId="0" fillId="0" borderId="77" xfId="0" applyBorder="1"/>
    <xf numFmtId="0" fontId="10" fillId="0" borderId="0" xfId="0" applyFont="1"/>
    <xf numFmtId="0" fontId="11" fillId="0" borderId="0" xfId="0" applyFont="1"/>
    <xf numFmtId="0" fontId="11" fillId="0" borderId="4" xfId="0" applyFont="1" applyBorder="1"/>
    <xf numFmtId="0" fontId="11" fillId="0" borderId="73" xfId="0" applyFont="1" applyBorder="1"/>
    <xf numFmtId="0" fontId="11" fillId="0" borderId="47" xfId="0" applyFont="1" applyBorder="1"/>
    <xf numFmtId="0" fontId="11" fillId="0" borderId="54" xfId="0" applyFont="1" applyBorder="1"/>
    <xf numFmtId="0" fontId="11" fillId="0" borderId="69" xfId="0" applyFont="1" applyBorder="1"/>
    <xf numFmtId="0" fontId="11" fillId="6" borderId="19" xfId="0" applyFont="1" applyFill="1" applyBorder="1"/>
    <xf numFmtId="0" fontId="11" fillId="0" borderId="19" xfId="0" applyFont="1" applyBorder="1"/>
    <xf numFmtId="0" fontId="11" fillId="0" borderId="51" xfId="0" applyFont="1" applyBorder="1"/>
    <xf numFmtId="0" fontId="11" fillId="0" borderId="67" xfId="0" applyFont="1" applyBorder="1"/>
    <xf numFmtId="0" fontId="18" fillId="0" borderId="0" xfId="0" applyFont="1"/>
    <xf numFmtId="0" fontId="11" fillId="0" borderId="80" xfId="0" applyFont="1" applyBorder="1"/>
    <xf numFmtId="0" fontId="11" fillId="0" borderId="79" xfId="0" applyFont="1" applyBorder="1"/>
    <xf numFmtId="0" fontId="11" fillId="0" borderId="14" xfId="0" applyFont="1" applyBorder="1"/>
    <xf numFmtId="0" fontId="11" fillId="6" borderId="14" xfId="0" applyFont="1" applyFill="1" applyBorder="1"/>
    <xf numFmtId="0" fontId="11" fillId="6" borderId="69" xfId="0" applyFont="1" applyFill="1" applyBorder="1"/>
    <xf numFmtId="0" fontId="11" fillId="6" borderId="0" xfId="0" applyFont="1" applyFill="1"/>
    <xf numFmtId="0" fontId="11" fillId="6" borderId="4" xfId="0" applyFont="1" applyFill="1" applyBorder="1"/>
    <xf numFmtId="0" fontId="11" fillId="6" borderId="73" xfId="0" applyFont="1" applyFill="1" applyBorder="1"/>
    <xf numFmtId="3" fontId="11" fillId="6" borderId="4" xfId="0" applyNumberFormat="1" applyFont="1" applyFill="1" applyBorder="1"/>
    <xf numFmtId="0" fontId="9" fillId="6" borderId="42" xfId="0" applyFont="1" applyFill="1" applyBorder="1"/>
    <xf numFmtId="0" fontId="11" fillId="0" borderId="59" xfId="0" applyFont="1" applyBorder="1"/>
    <xf numFmtId="0" fontId="11" fillId="0" borderId="25" xfId="0" applyFont="1" applyBorder="1"/>
    <xf numFmtId="0" fontId="11" fillId="6" borderId="25" xfId="0" applyFont="1" applyFill="1" applyBorder="1"/>
    <xf numFmtId="0" fontId="12" fillId="0" borderId="22" xfId="2" applyFont="1" applyFill="1" applyBorder="1" applyProtection="1"/>
    <xf numFmtId="3" fontId="12" fillId="0" borderId="22" xfId="2" applyNumberFormat="1" applyFont="1" applyFill="1" applyBorder="1" applyAlignment="1" applyProtection="1">
      <alignment horizontal="right"/>
    </xf>
    <xf numFmtId="3" fontId="12" fillId="0" borderId="22" xfId="4" applyNumberFormat="1" applyFont="1" applyFill="1" applyBorder="1" applyProtection="1"/>
    <xf numFmtId="0" fontId="12" fillId="0" borderId="4" xfId="2" applyFont="1" applyFill="1" applyBorder="1" applyProtection="1"/>
    <xf numFmtId="3" fontId="12" fillId="0" borderId="4" xfId="2" applyNumberFormat="1" applyFont="1" applyFill="1" applyBorder="1" applyAlignment="1" applyProtection="1">
      <alignment horizontal="right"/>
    </xf>
    <xf numFmtId="3" fontId="12" fillId="0" borderId="4" xfId="4" applyNumberFormat="1" applyFont="1" applyFill="1" applyBorder="1" applyProtection="1"/>
    <xf numFmtId="3" fontId="12" fillId="0" borderId="4" xfId="2" applyNumberFormat="1" applyFont="1" applyFill="1" applyBorder="1" applyProtection="1"/>
    <xf numFmtId="0" fontId="12" fillId="0" borderId="6" xfId="2" applyFont="1" applyFill="1" applyBorder="1" applyProtection="1"/>
    <xf numFmtId="3" fontId="12" fillId="0" borderId="6" xfId="2" applyNumberFormat="1" applyFont="1" applyFill="1" applyBorder="1" applyAlignment="1" applyProtection="1">
      <alignment horizontal="right"/>
    </xf>
    <xf numFmtId="3" fontId="12" fillId="0" borderId="6" xfId="4" applyNumberFormat="1" applyFont="1" applyFill="1" applyBorder="1" applyProtection="1"/>
    <xf numFmtId="3" fontId="12" fillId="0" borderId="6" xfId="2" applyNumberFormat="1" applyFont="1" applyFill="1" applyBorder="1" applyProtection="1"/>
    <xf numFmtId="3" fontId="13" fillId="0" borderId="64" xfId="3" applyNumberFormat="1" applyFont="1" applyFill="1" applyBorder="1" applyAlignment="1" applyProtection="1">
      <alignment horizontal="right"/>
    </xf>
    <xf numFmtId="3" fontId="13" fillId="0" borderId="88" xfId="3" applyNumberFormat="1" applyFont="1" applyFill="1" applyBorder="1" applyProtection="1"/>
    <xf numFmtId="0" fontId="11" fillId="0" borderId="23" xfId="0" applyFont="1" applyBorder="1"/>
    <xf numFmtId="0" fontId="11" fillId="6" borderId="13" xfId="0" applyFont="1" applyFill="1" applyBorder="1"/>
    <xf numFmtId="3" fontId="12" fillId="0" borderId="66" xfId="4" applyNumberFormat="1" applyFont="1" applyFill="1" applyBorder="1" applyAlignment="1" applyProtection="1"/>
    <xf numFmtId="4" fontId="12" fillId="0" borderId="19" xfId="4" applyNumberFormat="1" applyFont="1" applyFill="1" applyBorder="1" applyAlignment="1" applyProtection="1"/>
    <xf numFmtId="2" fontId="12" fillId="0" borderId="19" xfId="4" applyNumberFormat="1" applyFont="1" applyFill="1" applyBorder="1" applyAlignment="1" applyProtection="1"/>
    <xf numFmtId="2" fontId="12" fillId="0" borderId="67" xfId="4" applyNumberFormat="1" applyFont="1" applyFill="1" applyBorder="1" applyAlignment="1" applyProtection="1"/>
    <xf numFmtId="0" fontId="11" fillId="6" borderId="67" xfId="0" applyFont="1" applyFill="1" applyBorder="1"/>
    <xf numFmtId="0" fontId="11" fillId="0" borderId="81" xfId="0" applyFont="1" applyBorder="1"/>
    <xf numFmtId="0" fontId="11" fillId="0" borderId="13" xfId="0" applyFont="1" applyBorder="1"/>
    <xf numFmtId="0" fontId="11" fillId="0" borderId="82" xfId="0" applyFont="1" applyBorder="1"/>
    <xf numFmtId="0" fontId="11" fillId="0" borderId="44" xfId="0" applyFont="1" applyBorder="1"/>
    <xf numFmtId="3" fontId="11" fillId="0" borderId="44" xfId="0" applyNumberFormat="1" applyFont="1" applyBorder="1"/>
    <xf numFmtId="2" fontId="11" fillId="0" borderId="4" xfId="0" applyNumberFormat="1" applyFont="1" applyBorder="1"/>
    <xf numFmtId="3" fontId="11" fillId="0" borderId="47" xfId="0" applyNumberFormat="1" applyFont="1" applyBorder="1"/>
    <xf numFmtId="0" fontId="0" fillId="6" borderId="37" xfId="0" applyFill="1" applyBorder="1"/>
    <xf numFmtId="0" fontId="0" fillId="6" borderId="38" xfId="0" applyFill="1" applyBorder="1"/>
    <xf numFmtId="165" fontId="0" fillId="6" borderId="0" xfId="0" applyNumberFormat="1" applyFill="1"/>
    <xf numFmtId="2" fontId="0" fillId="6" borderId="0" xfId="0" applyNumberFormat="1" applyFill="1"/>
    <xf numFmtId="1" fontId="0" fillId="6" borderId="0" xfId="0" applyNumberFormat="1" applyFill="1"/>
    <xf numFmtId="0" fontId="11" fillId="0" borderId="25" xfId="0" applyFont="1" applyBorder="1" applyAlignment="1">
      <alignment horizontal="right"/>
    </xf>
    <xf numFmtId="0" fontId="11" fillId="0" borderId="25" xfId="0" applyFont="1" applyBorder="1" applyAlignment="1">
      <alignment horizontal="center" wrapText="1"/>
    </xf>
    <xf numFmtId="0" fontId="11" fillId="0" borderId="38" xfId="0" applyFont="1" applyBorder="1"/>
    <xf numFmtId="0" fontId="11" fillId="0" borderId="25" xfId="0" applyFont="1" applyBorder="1" applyAlignment="1">
      <alignment horizontal="center"/>
    </xf>
    <xf numFmtId="0" fontId="11" fillId="0" borderId="61" xfId="0" applyFont="1" applyBorder="1" applyAlignment="1">
      <alignment horizontal="left"/>
    </xf>
    <xf numFmtId="0" fontId="11" fillId="0" borderId="26" xfId="0" applyFont="1" applyBorder="1"/>
    <xf numFmtId="0" fontId="11" fillId="6" borderId="26" xfId="0" applyFont="1" applyFill="1" applyBorder="1"/>
    <xf numFmtId="0" fontId="11" fillId="0" borderId="26" xfId="0" applyFont="1" applyBorder="1" applyAlignment="1">
      <alignment horizontal="center" wrapText="1"/>
    </xf>
    <xf numFmtId="0" fontId="11" fillId="0" borderId="2" xfId="0" applyFont="1" applyBorder="1"/>
    <xf numFmtId="0" fontId="11" fillId="0" borderId="78" xfId="0" applyFont="1" applyBorder="1"/>
    <xf numFmtId="0" fontId="11" fillId="0" borderId="83" xfId="0" applyFont="1" applyBorder="1" applyAlignment="1">
      <alignment horizontal="left"/>
    </xf>
    <xf numFmtId="2" fontId="11" fillId="0" borderId="23" xfId="0" applyNumberFormat="1" applyFont="1" applyBorder="1" applyAlignment="1">
      <alignment horizontal="center"/>
    </xf>
    <xf numFmtId="0" fontId="11" fillId="0" borderId="45" xfId="0" applyFont="1" applyBorder="1" applyAlignment="1">
      <alignment horizontal="left"/>
    </xf>
    <xf numFmtId="2" fontId="11" fillId="0" borderId="4" xfId="0" applyNumberFormat="1" applyFont="1" applyBorder="1" applyAlignment="1">
      <alignment horizontal="center"/>
    </xf>
    <xf numFmtId="0" fontId="11" fillId="0" borderId="65" xfId="0" applyFont="1" applyBorder="1" applyAlignment="1">
      <alignment horizontal="left"/>
    </xf>
    <xf numFmtId="3" fontId="16" fillId="0" borderId="93" xfId="4" applyNumberFormat="1" applyFont="1" applyFill="1" applyBorder="1" applyAlignment="1" applyProtection="1"/>
    <xf numFmtId="0" fontId="11" fillId="0" borderId="34" xfId="0" applyFont="1" applyBorder="1"/>
    <xf numFmtId="0" fontId="11" fillId="0" borderId="29" xfId="0" applyFont="1" applyBorder="1"/>
    <xf numFmtId="0" fontId="11" fillId="0" borderId="59" xfId="0" applyFont="1" applyBorder="1" applyAlignment="1">
      <alignment horizontal="right"/>
    </xf>
    <xf numFmtId="0" fontId="18" fillId="0" borderId="25" xfId="0" applyFont="1" applyBorder="1" applyAlignment="1">
      <alignment horizontal="right"/>
    </xf>
    <xf numFmtId="0" fontId="18" fillId="0" borderId="25" xfId="0" applyFont="1" applyBorder="1" applyAlignment="1">
      <alignment horizontal="right" wrapText="1"/>
    </xf>
    <xf numFmtId="0" fontId="18" fillId="0" borderId="60" xfId="0" applyFont="1" applyBorder="1" applyAlignment="1">
      <alignment horizontal="right"/>
    </xf>
    <xf numFmtId="0" fontId="18" fillId="0" borderId="61" xfId="0" applyFont="1" applyBorder="1" applyAlignment="1">
      <alignment horizontal="left"/>
    </xf>
    <xf numFmtId="0" fontId="18" fillId="0" borderId="26" xfId="0" applyFont="1" applyBorder="1"/>
    <xf numFmtId="0" fontId="18" fillId="0" borderId="26" xfId="0" applyFont="1" applyBorder="1" applyAlignment="1">
      <alignment horizontal="right"/>
    </xf>
    <xf numFmtId="0" fontId="18" fillId="0" borderId="62" xfId="0" applyFont="1" applyBorder="1" applyAlignment="1">
      <alignment horizontal="right"/>
    </xf>
    <xf numFmtId="0" fontId="12" fillId="0" borderId="55" xfId="0" applyFont="1" applyBorder="1" applyAlignment="1">
      <alignment horizontal="right"/>
    </xf>
    <xf numFmtId="3" fontId="12" fillId="0" borderId="56" xfId="0" applyNumberFormat="1" applyFont="1" applyBorder="1" applyAlignment="1">
      <alignment horizontal="right"/>
    </xf>
    <xf numFmtId="0" fontId="12" fillId="0" borderId="45" xfId="0" applyFont="1" applyBorder="1" applyAlignment="1">
      <alignment horizontal="right"/>
    </xf>
    <xf numFmtId="3" fontId="12" fillId="0" borderId="46" xfId="0" applyNumberFormat="1" applyFont="1" applyBorder="1" applyAlignment="1">
      <alignment horizontal="right"/>
    </xf>
    <xf numFmtId="0" fontId="12" fillId="0" borderId="57" xfId="0" applyFont="1" applyBorder="1" applyAlignment="1">
      <alignment horizontal="right"/>
    </xf>
    <xf numFmtId="3" fontId="12" fillId="0" borderId="58" xfId="0" applyNumberFormat="1" applyFont="1" applyBorder="1" applyAlignment="1">
      <alignment horizontal="right"/>
    </xf>
    <xf numFmtId="0" fontId="11" fillId="0" borderId="71" xfId="0" applyFont="1" applyBorder="1"/>
    <xf numFmtId="0" fontId="11" fillId="0" borderId="93" xfId="0" applyFont="1" applyBorder="1"/>
    <xf numFmtId="0" fontId="11" fillId="0" borderId="92" xfId="0" applyFont="1" applyBorder="1" applyAlignment="1">
      <alignment horizontal="right"/>
    </xf>
    <xf numFmtId="0" fontId="11" fillId="0" borderId="94" xfId="0" applyFont="1" applyBorder="1" applyAlignment="1">
      <alignment horizontal="right"/>
    </xf>
    <xf numFmtId="3" fontId="11" fillId="0" borderId="64" xfId="0" applyNumberFormat="1" applyFont="1" applyBorder="1"/>
    <xf numFmtId="0" fontId="11" fillId="0" borderId="33" xfId="0" applyFont="1" applyBorder="1" applyAlignment="1">
      <alignment horizontal="center"/>
    </xf>
    <xf numFmtId="0" fontId="11" fillId="0" borderId="83" xfId="0" applyFont="1" applyBorder="1"/>
    <xf numFmtId="0" fontId="15" fillId="0" borderId="71" xfId="0" applyFont="1" applyBorder="1"/>
    <xf numFmtId="0" fontId="0" fillId="0" borderId="0" xfId="0" applyAlignment="1">
      <alignment horizontal="left"/>
    </xf>
    <xf numFmtId="0" fontId="0" fillId="0" borderId="34" xfId="0" applyBorder="1"/>
    <xf numFmtId="0" fontId="11" fillId="0" borderId="45" xfId="0" applyFont="1" applyBorder="1"/>
    <xf numFmtId="0" fontId="11" fillId="6" borderId="16" xfId="0" applyFont="1" applyFill="1" applyBorder="1"/>
    <xf numFmtId="0" fontId="11" fillId="0" borderId="66" xfId="0" applyFont="1" applyBorder="1"/>
    <xf numFmtId="0" fontId="11" fillId="0" borderId="65" xfId="0" applyFont="1" applyBorder="1"/>
    <xf numFmtId="0" fontId="11" fillId="0" borderId="91" xfId="0" applyFont="1" applyBorder="1"/>
    <xf numFmtId="0" fontId="11" fillId="0" borderId="33" xfId="0" applyFont="1" applyBorder="1"/>
    <xf numFmtId="0" fontId="11" fillId="0" borderId="79" xfId="0" applyFont="1" applyBorder="1" applyAlignment="1">
      <alignment horizontal="left"/>
    </xf>
    <xf numFmtId="0" fontId="11" fillId="0" borderId="14" xfId="0" applyFont="1" applyBorder="1" applyAlignment="1">
      <alignment horizontal="left"/>
    </xf>
    <xf numFmtId="0" fontId="12" fillId="0" borderId="65" xfId="0" applyFont="1" applyBorder="1"/>
    <xf numFmtId="0" fontId="12" fillId="0" borderId="53" xfId="0" applyFont="1" applyBorder="1"/>
    <xf numFmtId="0" fontId="11" fillId="0" borderId="48" xfId="0" applyFont="1" applyBorder="1"/>
    <xf numFmtId="3" fontId="11" fillId="0" borderId="69" xfId="0" applyNumberFormat="1" applyFont="1" applyBorder="1"/>
    <xf numFmtId="0" fontId="12" fillId="0" borderId="68" xfId="5" applyFont="1" applyFill="1" applyBorder="1" applyAlignment="1" applyProtection="1">
      <alignment horizontal="left"/>
    </xf>
    <xf numFmtId="166" fontId="12" fillId="0" borderId="46" xfId="5" applyNumberFormat="1" applyFont="1" applyFill="1" applyBorder="1" applyAlignment="1" applyProtection="1">
      <alignment horizontal="left"/>
    </xf>
    <xf numFmtId="0" fontId="12" fillId="0" borderId="89" xfId="6" applyFont="1" applyFill="1" applyBorder="1" applyAlignment="1" applyProtection="1">
      <alignment horizontal="left"/>
    </xf>
    <xf numFmtId="0" fontId="12" fillId="0" borderId="25" xfId="6" applyFont="1" applyFill="1" applyBorder="1" applyAlignment="1" applyProtection="1">
      <alignment horizontal="left"/>
    </xf>
    <xf numFmtId="0" fontId="11" fillId="6" borderId="29" xfId="0" applyFont="1" applyFill="1" applyBorder="1"/>
    <xf numFmtId="0" fontId="11" fillId="6" borderId="29" xfId="0" applyFont="1" applyFill="1" applyBorder="1" applyAlignment="1">
      <alignment horizontal="left"/>
    </xf>
    <xf numFmtId="0" fontId="15" fillId="0" borderId="0" xfId="0" applyFont="1"/>
    <xf numFmtId="0" fontId="15" fillId="0" borderId="75" xfId="0" applyFont="1" applyBorder="1"/>
    <xf numFmtId="0" fontId="15" fillId="0" borderId="33" xfId="0" applyFont="1" applyBorder="1"/>
    <xf numFmtId="0" fontId="11" fillId="0" borderId="105" xfId="0" applyFont="1" applyBorder="1" applyAlignment="1">
      <alignment horizontal="center"/>
    </xf>
    <xf numFmtId="0" fontId="11" fillId="0" borderId="108" xfId="0" applyFont="1" applyBorder="1"/>
    <xf numFmtId="0" fontId="11" fillId="6" borderId="34" xfId="0" applyFont="1" applyFill="1" applyBorder="1"/>
    <xf numFmtId="3" fontId="11" fillId="6" borderId="87" xfId="0" applyNumberFormat="1" applyFont="1" applyFill="1" applyBorder="1" applyAlignment="1">
      <alignment horizontal="right"/>
    </xf>
    <xf numFmtId="0" fontId="11" fillId="6" borderId="5" xfId="0" applyFont="1" applyFill="1" applyBorder="1" applyAlignment="1">
      <alignment horizontal="left"/>
    </xf>
    <xf numFmtId="0" fontId="11" fillId="6" borderId="9" xfId="0" applyFont="1" applyFill="1" applyBorder="1" applyAlignment="1">
      <alignment wrapText="1"/>
    </xf>
    <xf numFmtId="0" fontId="11" fillId="6" borderId="20" xfId="0" applyFont="1" applyFill="1" applyBorder="1" applyAlignment="1">
      <alignment wrapText="1"/>
    </xf>
    <xf numFmtId="0" fontId="11" fillId="6" borderId="5" xfId="0" applyFont="1" applyFill="1" applyBorder="1"/>
    <xf numFmtId="1" fontId="11" fillId="6" borderId="87" xfId="0" applyNumberFormat="1" applyFont="1" applyFill="1" applyBorder="1"/>
    <xf numFmtId="0" fontId="20" fillId="6" borderId="9" xfId="0" applyFont="1" applyFill="1" applyBorder="1"/>
    <xf numFmtId="0" fontId="20" fillId="6" borderId="20" xfId="0" applyFont="1" applyFill="1" applyBorder="1"/>
    <xf numFmtId="3" fontId="11" fillId="6" borderId="16" xfId="0" applyNumberFormat="1" applyFont="1" applyFill="1" applyBorder="1"/>
    <xf numFmtId="0" fontId="0" fillId="0" borderId="42" xfId="0" applyBorder="1"/>
    <xf numFmtId="0" fontId="0" fillId="6" borderId="42" xfId="0" applyFill="1" applyBorder="1"/>
    <xf numFmtId="0" fontId="15" fillId="0" borderId="37" xfId="0" applyFont="1" applyBorder="1"/>
    <xf numFmtId="0" fontId="15" fillId="0" borderId="34" xfId="0" applyFont="1" applyBorder="1"/>
    <xf numFmtId="0" fontId="11" fillId="0" borderId="102" xfId="0" applyFont="1" applyBorder="1"/>
    <xf numFmtId="0" fontId="11" fillId="6" borderId="9" xfId="0" applyFont="1" applyFill="1" applyBorder="1"/>
    <xf numFmtId="0" fontId="11" fillId="6" borderId="20" xfId="0" applyFont="1" applyFill="1" applyBorder="1"/>
    <xf numFmtId="0" fontId="11" fillId="6" borderId="102" xfId="0" applyFont="1" applyFill="1" applyBorder="1"/>
    <xf numFmtId="0" fontId="11" fillId="6" borderId="38" xfId="0" applyFont="1" applyFill="1" applyBorder="1"/>
    <xf numFmtId="2" fontId="11" fillId="6" borderId="9" xfId="0" applyNumberFormat="1" applyFont="1" applyFill="1" applyBorder="1"/>
    <xf numFmtId="0" fontId="11" fillId="6" borderId="0" xfId="0" applyFont="1" applyFill="1" applyAlignment="1">
      <alignment horizontal="left"/>
    </xf>
    <xf numFmtId="0" fontId="11" fillId="6" borderId="38" xfId="0" applyFont="1" applyFill="1" applyBorder="1" applyAlignment="1">
      <alignment horizontal="left"/>
    </xf>
    <xf numFmtId="0" fontId="11" fillId="0" borderId="9" xfId="0" applyFont="1" applyBorder="1"/>
    <xf numFmtId="0" fontId="11" fillId="0" borderId="20" xfId="0" applyFont="1" applyBorder="1"/>
    <xf numFmtId="0" fontId="11" fillId="0" borderId="84" xfId="0" applyFont="1" applyBorder="1"/>
    <xf numFmtId="0" fontId="11" fillId="0" borderId="85" xfId="0" applyFont="1" applyBorder="1"/>
    <xf numFmtId="0" fontId="11" fillId="0" borderId="109" xfId="0" applyFont="1" applyBorder="1"/>
    <xf numFmtId="0" fontId="11" fillId="0" borderId="40" xfId="0" applyFont="1" applyBorder="1"/>
    <xf numFmtId="0" fontId="11" fillId="0" borderId="75" xfId="0" applyFont="1" applyBorder="1"/>
    <xf numFmtId="0" fontId="11" fillId="6" borderId="34" xfId="0" applyFont="1" applyFill="1" applyBorder="1" applyAlignment="1">
      <alignment horizontal="right"/>
    </xf>
    <xf numFmtId="0" fontId="11" fillId="0" borderId="36" xfId="0" applyFont="1" applyBorder="1"/>
    <xf numFmtId="2" fontId="11" fillId="6" borderId="0" xfId="0" applyNumberFormat="1" applyFont="1" applyFill="1"/>
    <xf numFmtId="4" fontId="11" fillId="6" borderId="0" xfId="0" applyNumberFormat="1" applyFont="1" applyFill="1" applyAlignment="1">
      <alignment horizontal="right"/>
    </xf>
    <xf numFmtId="2" fontId="11" fillId="0" borderId="9" xfId="0" applyNumberFormat="1" applyFont="1" applyBorder="1"/>
    <xf numFmtId="2" fontId="11" fillId="0" borderId="102" xfId="0" applyNumberFormat="1" applyFont="1" applyBorder="1"/>
    <xf numFmtId="3" fontId="11" fillId="6" borderId="0" xfId="0" applyNumberFormat="1" applyFont="1" applyFill="1"/>
    <xf numFmtId="3" fontId="11" fillId="6" borderId="0" xfId="0" applyNumberFormat="1" applyFont="1" applyFill="1" applyAlignment="1">
      <alignment horizontal="right"/>
    </xf>
    <xf numFmtId="0" fontId="11" fillId="0" borderId="70" xfId="0" applyFont="1" applyBorder="1"/>
    <xf numFmtId="0" fontId="11" fillId="0" borderId="21" xfId="0" applyFont="1" applyBorder="1"/>
    <xf numFmtId="0" fontId="11" fillId="0" borderId="107" xfId="0" applyFont="1" applyBorder="1"/>
    <xf numFmtId="0" fontId="11" fillId="6" borderId="0" xfId="0" applyFont="1" applyFill="1" applyAlignment="1">
      <alignment horizontal="right"/>
    </xf>
    <xf numFmtId="0" fontId="11" fillId="0" borderId="0" xfId="0" applyFont="1" applyAlignment="1">
      <alignment horizontal="left"/>
    </xf>
    <xf numFmtId="0" fontId="11" fillId="0" borderId="38" xfId="0" applyFont="1" applyBorder="1" applyAlignment="1">
      <alignment horizontal="left"/>
    </xf>
    <xf numFmtId="2" fontId="11" fillId="0" borderId="84" xfId="0" applyNumberFormat="1" applyFont="1" applyBorder="1"/>
    <xf numFmtId="2" fontId="11" fillId="6" borderId="29" xfId="0" applyNumberFormat="1" applyFont="1" applyFill="1" applyBorder="1"/>
    <xf numFmtId="4" fontId="11" fillId="6" borderId="29" xfId="0" applyNumberFormat="1" applyFont="1" applyFill="1" applyBorder="1" applyAlignment="1">
      <alignment horizontal="right"/>
    </xf>
    <xf numFmtId="1" fontId="11" fillId="0" borderId="9" xfId="0" applyNumberFormat="1" applyFont="1" applyBorder="1"/>
    <xf numFmtId="4" fontId="11" fillId="6" borderId="0" xfId="0" applyNumberFormat="1" applyFont="1" applyFill="1" applyAlignment="1">
      <alignment horizontal="left"/>
    </xf>
    <xf numFmtId="0" fontId="11" fillId="0" borderId="29" xfId="0" applyFont="1" applyBorder="1" applyAlignment="1">
      <alignment horizontal="left"/>
    </xf>
    <xf numFmtId="0" fontId="11" fillId="0" borderId="40" xfId="0" applyFont="1" applyBorder="1" applyAlignment="1">
      <alignment horizontal="left"/>
    </xf>
    <xf numFmtId="0" fontId="11" fillId="0" borderId="103" xfId="0" applyFont="1" applyBorder="1"/>
    <xf numFmtId="3" fontId="11" fillId="0" borderId="9" xfId="0" applyNumberFormat="1" applyFont="1" applyBorder="1"/>
    <xf numFmtId="4" fontId="11" fillId="0" borderId="102" xfId="0" applyNumberFormat="1" applyFont="1" applyBorder="1" applyAlignment="1">
      <alignment horizontal="left"/>
    </xf>
    <xf numFmtId="1" fontId="11" fillId="0" borderId="84" xfId="0" applyNumberFormat="1" applyFont="1" applyBorder="1"/>
    <xf numFmtId="3" fontId="11" fillId="0" borderId="84" xfId="0" applyNumberFormat="1" applyFont="1" applyBorder="1"/>
    <xf numFmtId="3" fontId="11" fillId="6" borderId="29" xfId="0" applyNumberFormat="1" applyFont="1" applyFill="1" applyBorder="1" applyAlignment="1">
      <alignment horizontal="right"/>
    </xf>
    <xf numFmtId="4" fontId="11" fillId="6" borderId="29" xfId="0" applyNumberFormat="1" applyFont="1" applyFill="1" applyBorder="1" applyAlignment="1">
      <alignment horizontal="left"/>
    </xf>
    <xf numFmtId="0" fontId="11" fillId="6" borderId="79" xfId="0" applyFont="1" applyFill="1" applyBorder="1"/>
    <xf numFmtId="3" fontId="11" fillId="6" borderId="86" xfId="0" applyNumberFormat="1" applyFont="1" applyFill="1" applyBorder="1"/>
    <xf numFmtId="0" fontId="11" fillId="6" borderId="3" xfId="0" applyFont="1" applyFill="1" applyBorder="1"/>
    <xf numFmtId="3" fontId="11" fillId="6" borderId="22" xfId="0" applyNumberFormat="1" applyFont="1" applyFill="1" applyBorder="1"/>
    <xf numFmtId="1" fontId="11" fillId="6" borderId="102" xfId="0" applyNumberFormat="1" applyFont="1" applyFill="1" applyBorder="1"/>
    <xf numFmtId="1" fontId="11" fillId="6" borderId="0" xfId="0" applyNumberFormat="1" applyFont="1" applyFill="1"/>
    <xf numFmtId="3" fontId="11" fillId="6" borderId="87" xfId="0" applyNumberFormat="1" applyFont="1" applyFill="1" applyBorder="1"/>
    <xf numFmtId="4" fontId="11" fillId="6" borderId="0" xfId="0" applyNumberFormat="1" applyFont="1" applyFill="1"/>
    <xf numFmtId="3" fontId="11" fillId="0" borderId="11" xfId="0" applyNumberFormat="1" applyFont="1" applyBorder="1"/>
    <xf numFmtId="0" fontId="11" fillId="0" borderId="11" xfId="0" applyFont="1" applyBorder="1"/>
    <xf numFmtId="1" fontId="11" fillId="0" borderId="102" xfId="0" applyNumberFormat="1" applyFont="1" applyBorder="1"/>
    <xf numFmtId="1" fontId="11" fillId="0" borderId="109" xfId="0" applyNumberFormat="1" applyFont="1" applyBorder="1"/>
    <xf numFmtId="1" fontId="11" fillId="6" borderId="29" xfId="0" applyNumberFormat="1" applyFont="1" applyFill="1" applyBorder="1"/>
    <xf numFmtId="0" fontId="11" fillId="6" borderId="29" xfId="0" applyFont="1" applyFill="1" applyBorder="1" applyAlignment="1">
      <alignment horizontal="right"/>
    </xf>
    <xf numFmtId="0" fontId="11" fillId="0" borderId="110" xfId="0" applyFont="1" applyBorder="1" applyAlignment="1">
      <alignment horizontal="left"/>
    </xf>
    <xf numFmtId="0" fontId="15" fillId="0" borderId="111" xfId="0" applyFont="1" applyBorder="1"/>
    <xf numFmtId="3" fontId="12" fillId="0" borderId="15" xfId="4" applyNumberFormat="1" applyFont="1" applyFill="1" applyBorder="1" applyAlignment="1" applyProtection="1"/>
    <xf numFmtId="3" fontId="12" fillId="0" borderId="16" xfId="4" applyNumberFormat="1" applyFont="1" applyFill="1" applyBorder="1" applyAlignment="1" applyProtection="1"/>
    <xf numFmtId="0" fontId="15" fillId="0" borderId="116" xfId="0" applyFont="1" applyBorder="1"/>
    <xf numFmtId="0" fontId="15" fillId="0" borderId="51" xfId="0" applyFont="1" applyBorder="1"/>
    <xf numFmtId="0" fontId="15" fillId="0" borderId="67" xfId="0" applyFont="1" applyBorder="1"/>
    <xf numFmtId="2" fontId="15" fillId="0" borderId="84" xfId="0" applyNumberFormat="1" applyFont="1" applyBorder="1"/>
    <xf numFmtId="0" fontId="15" fillId="0" borderId="85" xfId="0" applyFont="1" applyBorder="1"/>
    <xf numFmtId="0" fontId="15" fillId="0" borderId="70" xfId="0" applyFont="1" applyBorder="1"/>
    <xf numFmtId="0" fontId="15" fillId="0" borderId="21" xfId="0" applyFont="1" applyBorder="1"/>
    <xf numFmtId="2" fontId="15" fillId="0" borderId="11" xfId="0" applyNumberFormat="1" applyFont="1" applyBorder="1"/>
    <xf numFmtId="0" fontId="15" fillId="0" borderId="107" xfId="0" applyFont="1" applyBorder="1"/>
    <xf numFmtId="0" fontId="11" fillId="0" borderId="16" xfId="0" applyFont="1" applyBorder="1"/>
    <xf numFmtId="0" fontId="11" fillId="0" borderId="53" xfId="0" applyFont="1" applyBorder="1"/>
    <xf numFmtId="0" fontId="11" fillId="0" borderId="98" xfId="0" applyFont="1" applyBorder="1"/>
    <xf numFmtId="0" fontId="11" fillId="0" borderId="50" xfId="0" applyFont="1" applyBorder="1"/>
    <xf numFmtId="0" fontId="18" fillId="0" borderId="59" xfId="0" applyFont="1" applyBorder="1" applyAlignment="1">
      <alignment horizontal="left"/>
    </xf>
    <xf numFmtId="0" fontId="21" fillId="0" borderId="25" xfId="0" applyFont="1" applyBorder="1"/>
    <xf numFmtId="3" fontId="11" fillId="0" borderId="101" xfId="0" applyNumberFormat="1" applyFont="1" applyBorder="1" applyAlignment="1">
      <alignment horizontal="right"/>
    </xf>
    <xf numFmtId="3" fontId="11" fillId="0" borderId="87" xfId="0" applyNumberFormat="1" applyFont="1" applyBorder="1" applyAlignment="1">
      <alignment horizontal="left"/>
    </xf>
    <xf numFmtId="0" fontId="0" fillId="8" borderId="0" xfId="0" applyFill="1"/>
    <xf numFmtId="2" fontId="0" fillId="8" borderId="0" xfId="0" applyNumberFormat="1" applyFill="1"/>
    <xf numFmtId="3" fontId="0" fillId="8" borderId="0" xfId="0" applyNumberFormat="1" applyFill="1"/>
    <xf numFmtId="0" fontId="0" fillId="8" borderId="0" xfId="0" applyFill="1" applyAlignment="1">
      <alignment wrapText="1"/>
    </xf>
    <xf numFmtId="4" fontId="11" fillId="0" borderId="101" xfId="0" applyNumberFormat="1" applyFont="1" applyBorder="1"/>
    <xf numFmtId="0" fontId="0" fillId="10" borderId="0" xfId="0" applyFill="1"/>
    <xf numFmtId="0" fontId="22" fillId="0" borderId="0" xfId="0" applyFont="1"/>
    <xf numFmtId="169" fontId="0" fillId="8" borderId="0" xfId="0" applyNumberFormat="1" applyFill="1"/>
    <xf numFmtId="168" fontId="0" fillId="8" borderId="0" xfId="0" applyNumberFormat="1" applyFill="1"/>
    <xf numFmtId="167" fontId="0" fillId="8" borderId="0" xfId="0" applyNumberFormat="1" applyFill="1"/>
    <xf numFmtId="0" fontId="11" fillId="6" borderId="81" xfId="0" applyFont="1" applyFill="1" applyBorder="1"/>
    <xf numFmtId="3" fontId="11" fillId="6" borderId="121" xfId="0" applyNumberFormat="1" applyFont="1" applyFill="1" applyBorder="1"/>
    <xf numFmtId="0" fontId="11" fillId="6" borderId="122" xfId="0" applyFont="1" applyFill="1" applyBorder="1"/>
    <xf numFmtId="3" fontId="11" fillId="6" borderId="23" xfId="0" applyNumberFormat="1" applyFont="1" applyFill="1" applyBorder="1"/>
    <xf numFmtId="1" fontId="11" fillId="0" borderId="0" xfId="0" applyNumberFormat="1" applyFont="1"/>
    <xf numFmtId="0" fontId="11" fillId="6" borderId="103" xfId="0" applyFont="1" applyFill="1" applyBorder="1"/>
    <xf numFmtId="169" fontId="11" fillId="6" borderId="0" xfId="0" applyNumberFormat="1" applyFont="1" applyFill="1" applyAlignment="1">
      <alignment horizontal="left"/>
    </xf>
    <xf numFmtId="168" fontId="11" fillId="6" borderId="0" xfId="0" applyNumberFormat="1" applyFont="1" applyFill="1" applyAlignment="1">
      <alignment horizontal="left"/>
    </xf>
    <xf numFmtId="167" fontId="11" fillId="6" borderId="0" xfId="0" applyNumberFormat="1" applyFont="1" applyFill="1"/>
    <xf numFmtId="0" fontId="11" fillId="6" borderId="34" xfId="0" applyFont="1" applyFill="1" applyBorder="1" applyAlignment="1">
      <alignment horizontal="left"/>
    </xf>
    <xf numFmtId="0" fontId="23" fillId="0" borderId="0" xfId="0" applyFont="1"/>
    <xf numFmtId="0" fontId="11" fillId="0" borderId="0" xfId="0" applyFont="1" applyAlignment="1">
      <alignment vertical="center"/>
    </xf>
    <xf numFmtId="170" fontId="12" fillId="0" borderId="22" xfId="2" applyNumberFormat="1" applyFont="1" applyFill="1" applyBorder="1" applyAlignment="1" applyProtection="1">
      <alignment horizontal="right"/>
    </xf>
    <xf numFmtId="170" fontId="12" fillId="0" borderId="4" xfId="2" applyNumberFormat="1" applyFont="1" applyFill="1" applyBorder="1" applyAlignment="1" applyProtection="1">
      <alignment horizontal="right"/>
    </xf>
    <xf numFmtId="170" fontId="12" fillId="0" borderId="6" xfId="2" applyNumberFormat="1" applyFont="1" applyFill="1" applyBorder="1" applyAlignment="1" applyProtection="1">
      <alignment horizontal="right"/>
    </xf>
    <xf numFmtId="0" fontId="11" fillId="0" borderId="2" xfId="0" applyFont="1" applyBorder="1" applyAlignment="1">
      <alignment horizontal="center"/>
    </xf>
    <xf numFmtId="0" fontId="11" fillId="0" borderId="123" xfId="0" applyFont="1" applyBorder="1"/>
    <xf numFmtId="0" fontId="15" fillId="0" borderId="93" xfId="0" applyFont="1" applyBorder="1"/>
    <xf numFmtId="0" fontId="11" fillId="0" borderId="125" xfId="0" applyFont="1" applyBorder="1"/>
    <xf numFmtId="0" fontId="11" fillId="11" borderId="23" xfId="0" applyFont="1" applyFill="1" applyBorder="1" applyProtection="1">
      <protection locked="0"/>
    </xf>
    <xf numFmtId="0" fontId="11" fillId="11" borderId="4" xfId="0" applyFont="1" applyFill="1" applyBorder="1" applyProtection="1">
      <protection locked="0"/>
    </xf>
    <xf numFmtId="0" fontId="11" fillId="11" borderId="47" xfId="0" applyFont="1" applyFill="1" applyBorder="1" applyProtection="1">
      <protection locked="0"/>
    </xf>
    <xf numFmtId="3" fontId="11" fillId="11" borderId="4" xfId="0" applyNumberFormat="1" applyFont="1" applyFill="1" applyBorder="1" applyProtection="1">
      <protection locked="0"/>
    </xf>
    <xf numFmtId="0" fontId="6" fillId="10" borderId="0" xfId="0" applyFont="1" applyFill="1" applyAlignment="1">
      <alignment vertical="center"/>
    </xf>
    <xf numFmtId="0" fontId="9" fillId="10" borderId="0" xfId="0" applyFont="1" applyFill="1"/>
    <xf numFmtId="0" fontId="11" fillId="10" borderId="0" xfId="0" applyFont="1" applyFill="1"/>
    <xf numFmtId="0" fontId="11" fillId="10" borderId="0" xfId="0" applyFont="1" applyFill="1" applyAlignment="1">
      <alignment horizontal="left"/>
    </xf>
    <xf numFmtId="0" fontId="12" fillId="10" borderId="0" xfId="6" applyFont="1" applyFill="1" applyBorder="1" applyAlignment="1" applyProtection="1">
      <alignment horizontal="left"/>
    </xf>
    <xf numFmtId="0" fontId="12" fillId="10" borderId="0" xfId="5" applyFont="1" applyFill="1" applyBorder="1" applyAlignment="1" applyProtection="1"/>
    <xf numFmtId="0" fontId="12" fillId="10" borderId="0" xfId="6" applyFont="1" applyFill="1" applyBorder="1" applyAlignment="1" applyProtection="1"/>
    <xf numFmtId="0" fontId="9" fillId="10" borderId="29" xfId="0" applyFont="1" applyFill="1" applyBorder="1"/>
    <xf numFmtId="0" fontId="11" fillId="10" borderId="24" xfId="0" applyFont="1" applyFill="1" applyBorder="1"/>
    <xf numFmtId="0" fontId="11" fillId="10" borderId="28" xfId="0" applyFont="1" applyFill="1" applyBorder="1"/>
    <xf numFmtId="0" fontId="11" fillId="10" borderId="90" xfId="0" applyFont="1" applyFill="1" applyBorder="1"/>
    <xf numFmtId="0" fontId="18" fillId="10" borderId="24" xfId="0" applyFont="1" applyFill="1" applyBorder="1" applyAlignment="1">
      <alignment horizontal="left"/>
    </xf>
    <xf numFmtId="0" fontId="18" fillId="10" borderId="25" xfId="0" applyFont="1" applyFill="1" applyBorder="1"/>
    <xf numFmtId="0" fontId="18" fillId="10" borderId="25" xfId="0" applyFont="1" applyFill="1" applyBorder="1" applyAlignment="1">
      <alignment horizontal="right"/>
    </xf>
    <xf numFmtId="0" fontId="18" fillId="10" borderId="28" xfId="0" applyFont="1" applyFill="1" applyBorder="1" applyAlignment="1">
      <alignment horizontal="left"/>
    </xf>
    <xf numFmtId="0" fontId="18" fillId="10" borderId="27" xfId="0" applyFont="1" applyFill="1" applyBorder="1" applyAlignment="1">
      <alignment horizontal="left"/>
    </xf>
    <xf numFmtId="0" fontId="18" fillId="10" borderId="26" xfId="0" applyFont="1" applyFill="1" applyBorder="1"/>
    <xf numFmtId="0" fontId="18" fillId="10" borderId="26" xfId="0" applyFont="1" applyFill="1" applyBorder="1" applyAlignment="1">
      <alignment horizontal="right"/>
    </xf>
    <xf numFmtId="0" fontId="18" fillId="10" borderId="99" xfId="0" applyFont="1" applyFill="1" applyBorder="1" applyAlignment="1">
      <alignment horizontal="right"/>
    </xf>
    <xf numFmtId="0" fontId="12" fillId="10" borderId="8" xfId="0" applyFont="1" applyFill="1" applyBorder="1" applyAlignment="1">
      <alignment horizontal="left"/>
    </xf>
    <xf numFmtId="3" fontId="12" fillId="10" borderId="15" xfId="2" applyNumberFormat="1" applyFont="1" applyFill="1" applyBorder="1" applyAlignment="1" applyProtection="1">
      <alignment horizontal="right"/>
    </xf>
    <xf numFmtId="0" fontId="12" fillId="10" borderId="10" xfId="0" applyFont="1" applyFill="1" applyBorder="1" applyAlignment="1">
      <alignment horizontal="left"/>
    </xf>
    <xf numFmtId="3" fontId="12" fillId="10" borderId="16" xfId="2" applyNumberFormat="1" applyFont="1" applyFill="1" applyBorder="1" applyAlignment="1" applyProtection="1">
      <alignment horizontal="right"/>
    </xf>
    <xf numFmtId="0" fontId="12" fillId="10" borderId="12" xfId="0" applyFont="1" applyFill="1" applyBorder="1" applyAlignment="1">
      <alignment horizontal="left"/>
    </xf>
    <xf numFmtId="3" fontId="12" fillId="10" borderId="17" xfId="2" applyNumberFormat="1" applyFont="1" applyFill="1" applyBorder="1" applyAlignment="1" applyProtection="1">
      <alignment horizontal="right"/>
    </xf>
    <xf numFmtId="0" fontId="11" fillId="10" borderId="64" xfId="0" applyFont="1" applyFill="1" applyBorder="1"/>
    <xf numFmtId="0" fontId="11" fillId="10" borderId="0" xfId="0" applyFont="1" applyFill="1" applyAlignment="1">
      <alignment wrapText="1"/>
    </xf>
    <xf numFmtId="0" fontId="11" fillId="10" borderId="0" xfId="0" applyFont="1" applyFill="1" applyAlignment="1">
      <alignment horizontal="center"/>
    </xf>
    <xf numFmtId="3" fontId="12" fillId="10" borderId="0" xfId="4" applyNumberFormat="1" applyFont="1" applyFill="1" applyBorder="1" applyAlignment="1" applyProtection="1"/>
    <xf numFmtId="0" fontId="15" fillId="10" borderId="0" xfId="0" applyFont="1" applyFill="1"/>
    <xf numFmtId="3" fontId="16" fillId="10" borderId="0" xfId="4" applyNumberFormat="1" applyFont="1" applyFill="1" applyBorder="1" applyAlignment="1" applyProtection="1"/>
    <xf numFmtId="0" fontId="12" fillId="10" borderId="0" xfId="0" applyFont="1" applyFill="1"/>
    <xf numFmtId="0" fontId="12" fillId="10" borderId="0" xfId="4" applyFont="1" applyFill="1" applyBorder="1" applyAlignment="1" applyProtection="1">
      <alignment horizontal="left"/>
    </xf>
    <xf numFmtId="0" fontId="17" fillId="10" borderId="0" xfId="4" applyFont="1" applyFill="1" applyBorder="1" applyAlignment="1" applyProtection="1"/>
    <xf numFmtId="0" fontId="11" fillId="10" borderId="0" xfId="0" applyFont="1" applyFill="1" applyProtection="1">
      <protection locked="0"/>
    </xf>
    <xf numFmtId="3" fontId="11" fillId="12" borderId="101" xfId="0" applyNumberFormat="1" applyFont="1" applyFill="1" applyBorder="1" applyProtection="1">
      <protection locked="0"/>
    </xf>
    <xf numFmtId="0" fontId="11" fillId="12" borderId="103" xfId="0" applyFont="1" applyFill="1" applyBorder="1" applyProtection="1">
      <protection locked="0"/>
    </xf>
    <xf numFmtId="0" fontId="11" fillId="12" borderId="9" xfId="0" applyFont="1" applyFill="1" applyBorder="1" applyProtection="1">
      <protection locked="0"/>
    </xf>
    <xf numFmtId="0" fontId="11" fillId="12" borderId="84" xfId="0" applyFont="1" applyFill="1" applyBorder="1" applyProtection="1">
      <protection locked="0"/>
    </xf>
    <xf numFmtId="3" fontId="11" fillId="12" borderId="47" xfId="0" applyNumberFormat="1" applyFont="1" applyFill="1" applyBorder="1" applyProtection="1">
      <protection locked="0"/>
    </xf>
    <xf numFmtId="3" fontId="12" fillId="12" borderId="4" xfId="0" applyNumberFormat="1" applyFont="1" applyFill="1" applyBorder="1" applyProtection="1">
      <protection locked="0"/>
    </xf>
    <xf numFmtId="0" fontId="11" fillId="12" borderId="23" xfId="0" applyFont="1" applyFill="1" applyBorder="1" applyProtection="1">
      <protection locked="0"/>
    </xf>
    <xf numFmtId="0" fontId="11" fillId="12" borderId="23" xfId="0" applyFont="1" applyFill="1" applyBorder="1" applyAlignment="1" applyProtection="1">
      <alignment horizontal="center"/>
      <protection locked="0"/>
    </xf>
    <xf numFmtId="0" fontId="11" fillId="12" borderId="4" xfId="0" applyFont="1" applyFill="1" applyBorder="1" applyProtection="1">
      <protection locked="0"/>
    </xf>
    <xf numFmtId="0" fontId="11" fillId="12" borderId="4" xfId="0" applyFont="1" applyFill="1" applyBorder="1" applyAlignment="1" applyProtection="1">
      <alignment horizontal="center"/>
      <protection locked="0"/>
    </xf>
    <xf numFmtId="0" fontId="11" fillId="12" borderId="47" xfId="0" applyFont="1" applyFill="1" applyBorder="1" applyProtection="1">
      <protection locked="0"/>
    </xf>
    <xf numFmtId="0" fontId="11" fillId="12" borderId="47" xfId="0" applyFont="1" applyFill="1" applyBorder="1" applyAlignment="1" applyProtection="1">
      <alignment horizontal="center"/>
      <protection locked="0"/>
    </xf>
    <xf numFmtId="0" fontId="11" fillId="12" borderId="69" xfId="0" applyFont="1" applyFill="1" applyBorder="1" applyProtection="1">
      <protection locked="0"/>
    </xf>
    <xf numFmtId="0" fontId="11" fillId="12" borderId="51" xfId="0" applyFont="1" applyFill="1" applyBorder="1" applyProtection="1">
      <protection locked="0"/>
    </xf>
    <xf numFmtId="170" fontId="9" fillId="10" borderId="0" xfId="0" applyNumberFormat="1" applyFont="1" applyFill="1"/>
    <xf numFmtId="0" fontId="27" fillId="0" borderId="0" xfId="7"/>
    <xf numFmtId="0" fontId="11" fillId="0" borderId="101" xfId="0" applyFont="1" applyBorder="1"/>
    <xf numFmtId="3" fontId="11" fillId="6" borderId="13" xfId="0" applyNumberFormat="1" applyFont="1" applyFill="1" applyBorder="1"/>
    <xf numFmtId="0" fontId="6" fillId="0" borderId="0" xfId="0" applyFont="1" applyAlignment="1">
      <alignment vertical="center"/>
    </xf>
    <xf numFmtId="3" fontId="11" fillId="0" borderId="0" xfId="0" applyNumberFormat="1" applyFont="1"/>
    <xf numFmtId="0" fontId="11" fillId="0" borderId="0" xfId="0" applyFont="1" applyAlignment="1">
      <alignment horizontal="right"/>
    </xf>
    <xf numFmtId="0" fontId="0" fillId="10" borderId="131" xfId="0" applyFill="1" applyBorder="1" applyAlignment="1">
      <alignment wrapText="1"/>
    </xf>
    <xf numFmtId="0" fontId="0" fillId="10" borderId="132" xfId="0" applyFill="1" applyBorder="1" applyAlignment="1">
      <alignment wrapText="1"/>
    </xf>
    <xf numFmtId="2" fontId="0" fillId="10" borderId="132" xfId="0" applyNumberFormat="1" applyFill="1" applyBorder="1" applyAlignment="1">
      <alignment wrapText="1"/>
    </xf>
    <xf numFmtId="2" fontId="0" fillId="10" borderId="133" xfId="0" applyNumberFormat="1" applyFill="1" applyBorder="1" applyAlignment="1">
      <alignment wrapText="1"/>
    </xf>
    <xf numFmtId="0" fontId="0" fillId="0" borderId="130" xfId="0" applyBorder="1" applyAlignment="1">
      <alignment horizontal="center"/>
    </xf>
    <xf numFmtId="0" fontId="28" fillId="0" borderId="0" xfId="0" applyFont="1" applyAlignment="1">
      <alignment horizontal="left" vertical="top"/>
    </xf>
    <xf numFmtId="0" fontId="0" fillId="0" borderId="0" xfId="0" applyAlignment="1">
      <alignment horizontal="left" vertical="top"/>
    </xf>
    <xf numFmtId="0" fontId="25" fillId="0" borderId="1" xfId="0" applyFont="1" applyBorder="1" applyAlignment="1">
      <alignment horizontal="left" vertical="top"/>
    </xf>
    <xf numFmtId="0" fontId="0" fillId="0" borderId="1" xfId="0" applyBorder="1" applyAlignment="1">
      <alignment horizontal="left" vertical="top"/>
    </xf>
    <xf numFmtId="0" fontId="27" fillId="0" borderId="0" xfId="7" applyAlignment="1">
      <alignment horizontal="left" vertical="top"/>
    </xf>
    <xf numFmtId="0" fontId="29" fillId="0" borderId="2" xfId="0" applyFont="1" applyBorder="1"/>
    <xf numFmtId="0" fontId="29" fillId="0" borderId="2" xfId="0" applyFont="1" applyBorder="1" applyAlignment="1">
      <alignment wrapText="1"/>
    </xf>
    <xf numFmtId="171" fontId="0" fillId="0" borderId="0" xfId="0" applyNumberFormat="1"/>
    <xf numFmtId="171" fontId="29" fillId="0" borderId="2" xfId="0" applyNumberFormat="1" applyFont="1" applyBorder="1" applyAlignment="1">
      <alignment wrapText="1"/>
    </xf>
    <xf numFmtId="171" fontId="0" fillId="8" borderId="0" xfId="0" applyNumberFormat="1" applyFill="1"/>
    <xf numFmtId="171" fontId="0" fillId="0" borderId="0" xfId="0" applyNumberFormat="1" applyAlignment="1">
      <alignment wrapText="1"/>
    </xf>
    <xf numFmtId="0" fontId="0" fillId="0" borderId="130" xfId="0" applyBorder="1"/>
    <xf numFmtId="2" fontId="0" fillId="13" borderId="102" xfId="0" applyNumberFormat="1" applyFill="1" applyBorder="1"/>
    <xf numFmtId="2" fontId="0" fillId="13" borderId="127" xfId="0" applyNumberFormat="1" applyFill="1" applyBorder="1"/>
    <xf numFmtId="2" fontId="0" fillId="13" borderId="136" xfId="0" applyNumberFormat="1" applyFill="1" applyBorder="1"/>
    <xf numFmtId="2" fontId="0" fillId="13" borderId="137" xfId="0" applyNumberFormat="1" applyFill="1" applyBorder="1"/>
    <xf numFmtId="0" fontId="0" fillId="14" borderId="102" xfId="0" applyFill="1" applyBorder="1" applyAlignment="1">
      <alignment wrapText="1"/>
    </xf>
    <xf numFmtId="0" fontId="0" fillId="14" borderId="127" xfId="0" applyFill="1" applyBorder="1" applyAlignment="1">
      <alignment wrapText="1"/>
    </xf>
    <xf numFmtId="0" fontId="0" fillId="14" borderId="134" xfId="0" applyFill="1" applyBorder="1"/>
    <xf numFmtId="0" fontId="0" fillId="14" borderId="135" xfId="0" applyFill="1" applyBorder="1"/>
    <xf numFmtId="171" fontId="0" fillId="0" borderId="0" xfId="0" applyNumberFormat="1" applyAlignment="1">
      <alignment textRotation="90" wrapText="1"/>
    </xf>
    <xf numFmtId="0" fontId="0" fillId="0" borderId="0" xfId="0" applyAlignment="1">
      <alignment textRotation="90"/>
    </xf>
    <xf numFmtId="0" fontId="11" fillId="6" borderId="47" xfId="0" applyFont="1" applyFill="1" applyBorder="1" applyAlignment="1">
      <alignment horizontal="left"/>
    </xf>
    <xf numFmtId="14" fontId="12" fillId="0" borderId="126" xfId="5" applyNumberFormat="1" applyFont="1" applyFill="1" applyBorder="1" applyAlignment="1" applyProtection="1">
      <alignment horizontal="left"/>
    </xf>
    <xf numFmtId="0" fontId="9" fillId="9" borderId="35" xfId="0" applyFont="1" applyFill="1" applyBorder="1" applyAlignment="1">
      <alignment vertical="center" wrapText="1"/>
    </xf>
    <xf numFmtId="0" fontId="6" fillId="9" borderId="34" xfId="0" applyFont="1" applyFill="1" applyBorder="1" applyAlignment="1">
      <alignment vertical="center"/>
    </xf>
    <xf numFmtId="0" fontId="6" fillId="9" borderId="36" xfId="0" applyFont="1" applyFill="1" applyBorder="1" applyAlignment="1">
      <alignment vertical="center"/>
    </xf>
    <xf numFmtId="0" fontId="6" fillId="9" borderId="37" xfId="0" applyFont="1" applyFill="1" applyBorder="1" applyAlignment="1">
      <alignment vertical="center"/>
    </xf>
    <xf numFmtId="0" fontId="6" fillId="9" borderId="0" xfId="0" applyFont="1" applyFill="1" applyAlignment="1">
      <alignment vertical="center"/>
    </xf>
    <xf numFmtId="0" fontId="6" fillId="9" borderId="38" xfId="0" applyFont="1" applyFill="1" applyBorder="1" applyAlignment="1">
      <alignment vertical="center"/>
    </xf>
    <xf numFmtId="0" fontId="6" fillId="9" borderId="39" xfId="0" applyFont="1" applyFill="1" applyBorder="1" applyAlignment="1">
      <alignment vertical="center"/>
    </xf>
    <xf numFmtId="0" fontId="6" fillId="9" borderId="29" xfId="0" applyFont="1" applyFill="1" applyBorder="1" applyAlignment="1">
      <alignment vertical="center"/>
    </xf>
    <xf numFmtId="0" fontId="6" fillId="9" borderId="40" xfId="0" applyFont="1" applyFill="1" applyBorder="1" applyAlignment="1">
      <alignment vertical="center"/>
    </xf>
    <xf numFmtId="0" fontId="9" fillId="9" borderId="34" xfId="0" applyFont="1" applyFill="1" applyBorder="1" applyAlignment="1">
      <alignment vertical="center" wrapText="1"/>
    </xf>
    <xf numFmtId="0" fontId="9" fillId="9" borderId="0" xfId="0" applyFont="1" applyFill="1" applyAlignment="1">
      <alignment vertical="center" wrapText="1"/>
    </xf>
    <xf numFmtId="0" fontId="9" fillId="9" borderId="29" xfId="0" applyFont="1" applyFill="1" applyBorder="1" applyAlignment="1">
      <alignment vertical="center" wrapText="1"/>
    </xf>
    <xf numFmtId="0" fontId="9" fillId="9" borderId="35" xfId="0" applyFont="1" applyFill="1" applyBorder="1" applyAlignment="1">
      <alignment vertical="center"/>
    </xf>
    <xf numFmtId="0" fontId="9" fillId="9" borderId="34" xfId="0" applyFont="1" applyFill="1" applyBorder="1" applyAlignment="1">
      <alignment vertical="center"/>
    </xf>
    <xf numFmtId="0" fontId="9" fillId="9" borderId="36" xfId="0" applyFont="1" applyFill="1" applyBorder="1" applyAlignment="1">
      <alignment vertical="center"/>
    </xf>
    <xf numFmtId="0" fontId="9" fillId="9" borderId="37" xfId="0" applyFont="1" applyFill="1" applyBorder="1" applyAlignment="1">
      <alignment vertical="center"/>
    </xf>
    <xf numFmtId="0" fontId="9" fillId="9" borderId="0" xfId="0" applyFont="1" applyFill="1" applyAlignment="1">
      <alignment vertical="center"/>
    </xf>
    <xf numFmtId="0" fontId="9" fillId="9" borderId="38" xfId="0" applyFont="1" applyFill="1" applyBorder="1" applyAlignment="1">
      <alignment vertical="center"/>
    </xf>
    <xf numFmtId="0" fontId="9" fillId="9" borderId="39" xfId="0" applyFont="1" applyFill="1" applyBorder="1" applyAlignment="1">
      <alignment vertical="center"/>
    </xf>
    <xf numFmtId="0" fontId="9" fillId="9" borderId="29" xfId="0" applyFont="1" applyFill="1" applyBorder="1" applyAlignment="1">
      <alignment vertical="center"/>
    </xf>
    <xf numFmtId="0" fontId="9" fillId="9" borderId="40" xfId="0" applyFont="1" applyFill="1" applyBorder="1" applyAlignment="1">
      <alignment vertical="center"/>
    </xf>
    <xf numFmtId="0" fontId="11" fillId="9" borderId="35" xfId="0" applyFont="1" applyFill="1" applyBorder="1" applyAlignment="1">
      <alignment vertical="center" wrapText="1"/>
    </xf>
    <xf numFmtId="0" fontId="11" fillId="9" borderId="34" xfId="0" applyFont="1" applyFill="1" applyBorder="1" applyAlignment="1">
      <alignment vertical="center" wrapText="1"/>
    </xf>
    <xf numFmtId="0" fontId="11" fillId="9" borderId="36" xfId="0" applyFont="1" applyFill="1" applyBorder="1" applyAlignment="1">
      <alignment vertical="center" wrapText="1"/>
    </xf>
    <xf numFmtId="0" fontId="11" fillId="9" borderId="37" xfId="0" applyFont="1" applyFill="1" applyBorder="1" applyAlignment="1">
      <alignment vertical="center" wrapText="1"/>
    </xf>
    <xf numFmtId="0" fontId="11" fillId="9" borderId="0" xfId="0" applyFont="1" applyFill="1" applyAlignment="1">
      <alignment vertical="center" wrapText="1"/>
    </xf>
    <xf numFmtId="0" fontId="11" fillId="9" borderId="38" xfId="0" applyFont="1" applyFill="1" applyBorder="1" applyAlignment="1">
      <alignment vertical="center" wrapText="1"/>
    </xf>
    <xf numFmtId="0" fontId="11" fillId="9" borderId="39" xfId="0" applyFont="1" applyFill="1" applyBorder="1" applyAlignment="1">
      <alignment vertical="center" wrapText="1"/>
    </xf>
    <xf numFmtId="0" fontId="11" fillId="9" borderId="29" xfId="0" applyFont="1" applyFill="1" applyBorder="1" applyAlignment="1">
      <alignment vertical="center" wrapText="1"/>
    </xf>
    <xf numFmtId="0" fontId="11" fillId="9" borderId="40" xfId="0" applyFont="1" applyFill="1" applyBorder="1" applyAlignment="1">
      <alignment vertical="center" wrapText="1"/>
    </xf>
    <xf numFmtId="0" fontId="11" fillId="9" borderId="35" xfId="0" applyFont="1" applyFill="1" applyBorder="1" applyAlignment="1">
      <alignment vertical="center"/>
    </xf>
    <xf numFmtId="0" fontId="11" fillId="9" borderId="34" xfId="0" applyFont="1" applyFill="1" applyBorder="1" applyAlignment="1">
      <alignment vertical="center"/>
    </xf>
    <xf numFmtId="0" fontId="11" fillId="9" borderId="36" xfId="0" applyFont="1" applyFill="1" applyBorder="1" applyAlignment="1">
      <alignment vertical="center"/>
    </xf>
    <xf numFmtId="0" fontId="11" fillId="9" borderId="37" xfId="0" applyFont="1" applyFill="1" applyBorder="1" applyAlignment="1">
      <alignment vertical="center"/>
    </xf>
    <xf numFmtId="0" fontId="11" fillId="9" borderId="0" xfId="0" applyFont="1" applyFill="1" applyAlignment="1">
      <alignment vertical="center"/>
    </xf>
    <xf numFmtId="0" fontId="11" fillId="9" borderId="38" xfId="0" applyFont="1" applyFill="1" applyBorder="1" applyAlignment="1">
      <alignment vertical="center"/>
    </xf>
    <xf numFmtId="0" fontId="11" fillId="9" borderId="39" xfId="0" applyFont="1" applyFill="1" applyBorder="1" applyAlignment="1">
      <alignment vertical="center"/>
    </xf>
    <xf numFmtId="0" fontId="11" fillId="9" borderId="29" xfId="0" applyFont="1" applyFill="1" applyBorder="1" applyAlignment="1">
      <alignment vertical="center"/>
    </xf>
    <xf numFmtId="0" fontId="11" fillId="9" borderId="40" xfId="0" applyFont="1" applyFill="1" applyBorder="1" applyAlignment="1">
      <alignment vertical="center"/>
    </xf>
    <xf numFmtId="0" fontId="15" fillId="6" borderId="0" xfId="0" applyFont="1" applyFill="1"/>
    <xf numFmtId="0" fontId="15" fillId="6" borderId="79" xfId="0" applyFont="1" applyFill="1" applyBorder="1"/>
    <xf numFmtId="0" fontId="18" fillId="6" borderId="7" xfId="0" applyFont="1" applyFill="1" applyBorder="1" applyAlignment="1">
      <alignment horizontal="left"/>
    </xf>
    <xf numFmtId="0" fontId="11" fillId="6" borderId="18" xfId="0" applyFont="1" applyFill="1" applyBorder="1" applyAlignment="1">
      <alignment horizontal="center"/>
    </xf>
    <xf numFmtId="0" fontId="11" fillId="6" borderId="101" xfId="0" applyFont="1" applyFill="1" applyBorder="1" applyProtection="1">
      <protection locked="0"/>
    </xf>
    <xf numFmtId="0" fontId="11" fillId="6" borderId="103" xfId="0" applyFont="1" applyFill="1" applyBorder="1" applyAlignment="1">
      <alignment horizontal="center"/>
    </xf>
    <xf numFmtId="0" fontId="11" fillId="6" borderId="0" xfId="0" applyFont="1" applyFill="1" applyAlignment="1">
      <alignment horizontal="center"/>
    </xf>
    <xf numFmtId="0" fontId="11" fillId="6" borderId="38" xfId="0" applyFont="1" applyFill="1" applyBorder="1" applyAlignment="1">
      <alignment horizontal="center"/>
    </xf>
    <xf numFmtId="0" fontId="18" fillId="6" borderId="101" xfId="0" applyFont="1" applyFill="1" applyBorder="1"/>
    <xf numFmtId="171" fontId="0" fillId="0" borderId="0" xfId="0" applyNumberFormat="1" applyAlignment="1">
      <alignment vertical="top"/>
    </xf>
    <xf numFmtId="2" fontId="22" fillId="8" borderId="0" xfId="0" applyNumberFormat="1" applyFont="1" applyFill="1"/>
    <xf numFmtId="14" fontId="12" fillId="0" borderId="46" xfId="5" applyNumberFormat="1" applyFont="1" applyFill="1" applyBorder="1" applyAlignment="1" applyProtection="1">
      <alignment horizontal="left"/>
    </xf>
    <xf numFmtId="0" fontId="11" fillId="0" borderId="37" xfId="0" applyFont="1" applyBorder="1"/>
    <xf numFmtId="14" fontId="12" fillId="0" borderId="37" xfId="5" applyNumberFormat="1" applyFont="1" applyFill="1" applyBorder="1" applyAlignment="1" applyProtection="1">
      <alignment horizontal="left"/>
    </xf>
    <xf numFmtId="14" fontId="11" fillId="0" borderId="0" xfId="0" applyNumberFormat="1" applyFont="1" applyAlignment="1">
      <alignment horizontal="left"/>
    </xf>
    <xf numFmtId="0" fontId="12" fillId="6" borderId="44" xfId="0" applyFont="1" applyFill="1" applyBorder="1" applyAlignment="1">
      <alignment horizontal="left"/>
    </xf>
    <xf numFmtId="0" fontId="12" fillId="6" borderId="4" xfId="0" applyFont="1" applyFill="1" applyBorder="1" applyAlignment="1">
      <alignment horizontal="left"/>
    </xf>
    <xf numFmtId="0" fontId="11" fillId="6" borderId="44" xfId="0" applyFont="1" applyFill="1" applyBorder="1" applyAlignment="1">
      <alignment horizontal="left"/>
    </xf>
    <xf numFmtId="0" fontId="11" fillId="6" borderId="4" xfId="0" applyFont="1" applyFill="1" applyBorder="1" applyAlignment="1">
      <alignment horizontal="left"/>
    </xf>
    <xf numFmtId="0" fontId="12" fillId="0" borderId="139" xfId="6" applyFont="1" applyFill="1" applyBorder="1" applyAlignment="1" applyProtection="1">
      <alignment horizontal="left"/>
    </xf>
    <xf numFmtId="0" fontId="26" fillId="10" borderId="4" xfId="0" applyFont="1" applyFill="1" applyBorder="1"/>
    <xf numFmtId="0" fontId="26" fillId="10" borderId="0" xfId="0" applyFont="1" applyFill="1"/>
    <xf numFmtId="0" fontId="26" fillId="10" borderId="0" xfId="0" applyFont="1" applyFill="1" applyAlignment="1">
      <alignment horizontal="left"/>
    </xf>
    <xf numFmtId="0" fontId="32" fillId="10" borderId="0" xfId="6" applyFont="1" applyFill="1" applyBorder="1" applyAlignment="1" applyProtection="1">
      <alignment horizontal="left"/>
    </xf>
    <xf numFmtId="0" fontId="26" fillId="10" borderId="0" xfId="0" applyFont="1" applyFill="1" applyAlignment="1">
      <alignment horizontal="right"/>
    </xf>
    <xf numFmtId="167" fontId="26" fillId="10" borderId="0" xfId="0" applyNumberFormat="1" applyFont="1" applyFill="1"/>
    <xf numFmtId="0" fontId="32" fillId="10" borderId="4" xfId="6" applyFont="1" applyFill="1" applyBorder="1" applyAlignment="1" applyProtection="1"/>
    <xf numFmtId="0" fontId="32" fillId="10" borderId="0" xfId="6" applyFont="1" applyFill="1" applyBorder="1" applyAlignment="1" applyProtection="1"/>
    <xf numFmtId="0" fontId="12" fillId="0" borderId="89" xfId="0" applyFont="1" applyBorder="1"/>
    <xf numFmtId="0" fontId="12" fillId="0" borderId="25" xfId="0" applyFont="1" applyBorder="1"/>
    <xf numFmtId="0" fontId="11" fillId="0" borderId="139" xfId="0" applyFont="1" applyBorder="1"/>
    <xf numFmtId="2" fontId="23" fillId="8" borderId="0" xfId="0" applyNumberFormat="1" applyFont="1" applyFill="1"/>
    <xf numFmtId="0" fontId="23" fillId="14" borderId="127" xfId="0" applyFont="1" applyFill="1" applyBorder="1" applyAlignment="1">
      <alignment wrapText="1"/>
    </xf>
    <xf numFmtId="0" fontId="26" fillId="9" borderId="35" xfId="0" applyFont="1" applyFill="1" applyBorder="1" applyAlignment="1">
      <alignment vertical="center"/>
    </xf>
    <xf numFmtId="0" fontId="26" fillId="9" borderId="34" xfId="0" applyFont="1" applyFill="1" applyBorder="1" applyAlignment="1">
      <alignment vertical="center"/>
    </xf>
    <xf numFmtId="0" fontId="26" fillId="9" borderId="37" xfId="0" applyFont="1" applyFill="1" applyBorder="1" applyAlignment="1">
      <alignment vertical="center"/>
    </xf>
    <xf numFmtId="0" fontId="26" fillId="9" borderId="0" xfId="0" applyFont="1" applyFill="1" applyAlignment="1">
      <alignment vertical="center"/>
    </xf>
    <xf numFmtId="0" fontId="26" fillId="9" borderId="39" xfId="0" applyFont="1" applyFill="1" applyBorder="1" applyAlignment="1">
      <alignment vertical="center"/>
    </xf>
    <xf numFmtId="0" fontId="26" fillId="9" borderId="29" xfId="0" applyFont="1" applyFill="1" applyBorder="1" applyAlignment="1">
      <alignment vertical="center"/>
    </xf>
    <xf numFmtId="1" fontId="0" fillId="0" borderId="0" xfId="0" applyNumberFormat="1"/>
    <xf numFmtId="3" fontId="0" fillId="8" borderId="102" xfId="0" applyNumberFormat="1" applyFill="1" applyBorder="1"/>
    <xf numFmtId="3" fontId="0" fillId="8" borderId="127" xfId="0" applyNumberFormat="1" applyFill="1" applyBorder="1"/>
    <xf numFmtId="2" fontId="37" fillId="8" borderId="0" xfId="0" applyNumberFormat="1" applyFont="1" applyFill="1"/>
    <xf numFmtId="0" fontId="37" fillId="0" borderId="0" xfId="0" applyFont="1"/>
    <xf numFmtId="0" fontId="0" fillId="8" borderId="0" xfId="0" applyFill="1" applyProtection="1">
      <protection locked="0"/>
    </xf>
    <xf numFmtId="14" fontId="0" fillId="8" borderId="0" xfId="0" applyNumberFormat="1" applyFill="1" applyAlignment="1" applyProtection="1">
      <alignment horizontal="left"/>
      <protection locked="0"/>
    </xf>
    <xf numFmtId="0" fontId="0" fillId="8" borderId="0" xfId="0" quotePrefix="1" applyFill="1" applyProtection="1">
      <protection locked="0"/>
    </xf>
    <xf numFmtId="171" fontId="0" fillId="8" borderId="0" xfId="0" applyNumberFormat="1" applyFill="1" applyProtection="1">
      <protection locked="0"/>
    </xf>
    <xf numFmtId="171" fontId="0" fillId="0" borderId="134" xfId="0" applyNumberFormat="1" applyBorder="1" applyAlignment="1">
      <alignment textRotation="90"/>
    </xf>
    <xf numFmtId="171" fontId="0" fillId="0" borderId="1" xfId="0" applyNumberFormat="1" applyBorder="1" applyAlignment="1">
      <alignment textRotation="90"/>
    </xf>
    <xf numFmtId="0" fontId="0" fillId="0" borderId="135" xfId="0" applyBorder="1" applyAlignment="1">
      <alignment textRotation="90"/>
    </xf>
    <xf numFmtId="1" fontId="0" fillId="0" borderId="102" xfId="0" applyNumberFormat="1" applyBorder="1"/>
    <xf numFmtId="164" fontId="12" fillId="0" borderId="22" xfId="2" applyNumberFormat="1" applyFont="1" applyFill="1" applyBorder="1" applyAlignment="1" applyProtection="1">
      <alignment horizontal="right"/>
    </xf>
    <xf numFmtId="164" fontId="12" fillId="0" borderId="4" xfId="2" applyNumberFormat="1" applyFont="1" applyFill="1" applyBorder="1" applyAlignment="1" applyProtection="1">
      <alignment horizontal="right"/>
    </xf>
    <xf numFmtId="164" fontId="12" fillId="0" borderId="6" xfId="2" applyNumberFormat="1" applyFont="1" applyFill="1" applyBorder="1" applyAlignment="1" applyProtection="1">
      <alignment horizontal="right"/>
    </xf>
    <xf numFmtId="164" fontId="11" fillId="0" borderId="64" xfId="0" applyNumberFormat="1" applyFont="1" applyBorder="1" applyAlignment="1">
      <alignment horizontal="right"/>
    </xf>
    <xf numFmtId="172" fontId="0" fillId="8" borderId="0" xfId="0" applyNumberFormat="1" applyFill="1" applyProtection="1">
      <protection locked="0"/>
    </xf>
    <xf numFmtId="172" fontId="11" fillId="0" borderId="9" xfId="0" applyNumberFormat="1" applyFont="1" applyBorder="1"/>
    <xf numFmtId="172" fontId="11" fillId="0" borderId="84" xfId="0" applyNumberFormat="1" applyFont="1" applyBorder="1"/>
    <xf numFmtId="0" fontId="11" fillId="0" borderId="42" xfId="0" applyFont="1" applyBorder="1"/>
    <xf numFmtId="14" fontId="0" fillId="8" borderId="0" xfId="0" applyNumberFormat="1" applyFill="1"/>
    <xf numFmtId="1" fontId="0" fillId="0" borderId="136" xfId="0" applyNumberFormat="1" applyBorder="1"/>
    <xf numFmtId="3" fontId="0" fillId="8" borderId="2" xfId="0" applyNumberFormat="1" applyFill="1" applyBorder="1"/>
    <xf numFmtId="3" fontId="0" fillId="8" borderId="137" xfId="0" applyNumberFormat="1" applyFill="1" applyBorder="1"/>
    <xf numFmtId="173" fontId="0" fillId="8" borderId="0" xfId="0" applyNumberFormat="1" applyFill="1"/>
    <xf numFmtId="4" fontId="11" fillId="6" borderId="0" xfId="0" quotePrefix="1" applyNumberFormat="1" applyFont="1" applyFill="1"/>
    <xf numFmtId="0" fontId="11" fillId="0" borderId="28" xfId="0" applyFont="1" applyBorder="1"/>
    <xf numFmtId="0" fontId="11" fillId="0" borderId="127" xfId="0" applyFont="1" applyBorder="1"/>
    <xf numFmtId="3" fontId="12" fillId="0" borderId="28" xfId="4" applyNumberFormat="1" applyFont="1" applyFill="1" applyBorder="1" applyAlignment="1" applyProtection="1"/>
    <xf numFmtId="0" fontId="11" fillId="0" borderId="140" xfId="0" applyFont="1" applyBorder="1"/>
    <xf numFmtId="0" fontId="11" fillId="0" borderId="141" xfId="0" applyFont="1" applyBorder="1"/>
    <xf numFmtId="0" fontId="11" fillId="0" borderId="142" xfId="0" applyFont="1" applyBorder="1"/>
    <xf numFmtId="3" fontId="12" fillId="0" borderId="141" xfId="4" applyNumberFormat="1" applyFont="1" applyFill="1" applyBorder="1" applyAlignment="1" applyProtection="1"/>
    <xf numFmtId="0" fontId="11" fillId="0" borderId="143" xfId="0" applyFont="1" applyBorder="1"/>
    <xf numFmtId="0" fontId="15" fillId="0" borderId="57" xfId="0" applyFont="1" applyBorder="1"/>
    <xf numFmtId="0" fontId="15" fillId="0" borderId="17" xfId="0" applyFont="1" applyBorder="1"/>
    <xf numFmtId="3" fontId="16" fillId="0" borderId="17" xfId="4" applyNumberFormat="1" applyFont="1" applyFill="1" applyBorder="1" applyAlignment="1" applyProtection="1"/>
    <xf numFmtId="0" fontId="15" fillId="0" borderId="74" xfId="0" applyFont="1" applyBorder="1"/>
    <xf numFmtId="3" fontId="11" fillId="10" borderId="93" xfId="0" applyNumberFormat="1" applyFont="1" applyFill="1" applyBorder="1" applyAlignment="1">
      <alignment horizontal="right"/>
    </xf>
    <xf numFmtId="3" fontId="12" fillId="10" borderId="22" xfId="2" applyNumberFormat="1" applyFont="1" applyFill="1" applyBorder="1" applyAlignment="1" applyProtection="1">
      <alignment horizontal="right"/>
    </xf>
    <xf numFmtId="3" fontId="12" fillId="10" borderId="4" xfId="2" applyNumberFormat="1" applyFont="1" applyFill="1" applyBorder="1" applyAlignment="1" applyProtection="1">
      <alignment horizontal="right"/>
    </xf>
    <xf numFmtId="3" fontId="12" fillId="10" borderId="6" xfId="2" applyNumberFormat="1" applyFont="1" applyFill="1" applyBorder="1" applyAlignment="1" applyProtection="1">
      <alignment horizontal="right"/>
    </xf>
    <xf numFmtId="3" fontId="11" fillId="10" borderId="92" xfId="0" applyNumberFormat="1" applyFont="1" applyFill="1" applyBorder="1" applyAlignment="1">
      <alignment horizontal="right"/>
    </xf>
    <xf numFmtId="3" fontId="11" fillId="10" borderId="64" xfId="0" applyNumberFormat="1" applyFont="1" applyFill="1" applyBorder="1" applyAlignment="1">
      <alignment horizontal="right"/>
    </xf>
    <xf numFmtId="3" fontId="11" fillId="0" borderId="4" xfId="0" applyNumberFormat="1" applyFont="1" applyBorder="1"/>
    <xf numFmtId="0" fontId="11" fillId="0" borderId="89" xfId="0" applyFont="1" applyBorder="1"/>
    <xf numFmtId="172" fontId="26" fillId="10" borderId="0" xfId="0" applyNumberFormat="1" applyFont="1" applyFill="1"/>
    <xf numFmtId="0" fontId="11" fillId="0" borderId="23" xfId="0" applyFont="1" applyBorder="1" applyAlignment="1">
      <alignment horizontal="left"/>
    </xf>
    <xf numFmtId="0" fontId="12" fillId="0" borderId="34" xfId="6" applyFont="1" applyFill="1" applyBorder="1" applyAlignment="1" applyProtection="1"/>
    <xf numFmtId="0" fontId="12" fillId="0" borderId="0" xfId="6" applyFont="1" applyFill="1" applyBorder="1" applyAlignment="1" applyProtection="1"/>
    <xf numFmtId="0" fontId="12" fillId="0" borderId="29" xfId="6" applyFont="1" applyFill="1" applyBorder="1" applyAlignment="1" applyProtection="1"/>
    <xf numFmtId="0" fontId="11" fillId="11" borderId="4" xfId="0" applyFont="1" applyFill="1" applyBorder="1" applyAlignment="1" applyProtection="1">
      <alignment horizontal="right"/>
      <protection locked="0"/>
    </xf>
    <xf numFmtId="49" fontId="0" fillId="8" borderId="0" xfId="0" applyNumberFormat="1" applyFill="1" applyProtection="1">
      <protection locked="0"/>
    </xf>
    <xf numFmtId="0" fontId="10" fillId="0" borderId="0" xfId="0" applyFont="1" applyProtection="1">
      <protection hidden="1"/>
    </xf>
    <xf numFmtId="0" fontId="0" fillId="0" borderId="0" xfId="0" applyProtection="1">
      <protection hidden="1"/>
    </xf>
    <xf numFmtId="0" fontId="9" fillId="9" borderId="35" xfId="0" applyFont="1" applyFill="1" applyBorder="1" applyAlignment="1" applyProtection="1">
      <alignment vertical="center"/>
      <protection hidden="1"/>
    </xf>
    <xf numFmtId="0" fontId="9" fillId="9" borderId="34" xfId="0" applyFont="1" applyFill="1" applyBorder="1" applyAlignment="1" applyProtection="1">
      <alignment vertical="center"/>
      <protection hidden="1"/>
    </xf>
    <xf numFmtId="0" fontId="9" fillId="9" borderId="36" xfId="0" applyFont="1" applyFill="1" applyBorder="1" applyAlignment="1" applyProtection="1">
      <alignment vertical="center"/>
      <protection hidden="1"/>
    </xf>
    <xf numFmtId="0" fontId="9" fillId="9" borderId="37" xfId="0" applyFont="1" applyFill="1" applyBorder="1" applyAlignment="1" applyProtection="1">
      <alignment vertical="center"/>
      <protection hidden="1"/>
    </xf>
    <xf numFmtId="0" fontId="9" fillId="9" borderId="0" xfId="0" applyFont="1" applyFill="1" applyAlignment="1" applyProtection="1">
      <alignment vertical="center"/>
      <protection hidden="1"/>
    </xf>
    <xf numFmtId="0" fontId="9" fillId="9" borderId="38" xfId="0" applyFont="1" applyFill="1" applyBorder="1" applyAlignment="1" applyProtection="1">
      <alignment vertical="center"/>
      <protection hidden="1"/>
    </xf>
    <xf numFmtId="0" fontId="9" fillId="9" borderId="39" xfId="0" applyFont="1" applyFill="1" applyBorder="1" applyAlignment="1" applyProtection="1">
      <alignment vertical="center"/>
      <protection hidden="1"/>
    </xf>
    <xf numFmtId="0" fontId="9" fillId="9" borderId="29" xfId="0" applyFont="1" applyFill="1" applyBorder="1" applyAlignment="1" applyProtection="1">
      <alignment vertical="center"/>
      <protection hidden="1"/>
    </xf>
    <xf numFmtId="0" fontId="9" fillId="9" borderId="40" xfId="0" applyFont="1" applyFill="1" applyBorder="1" applyAlignment="1" applyProtection="1">
      <alignment vertical="center"/>
      <protection hidden="1"/>
    </xf>
    <xf numFmtId="171" fontId="25" fillId="0" borderId="2" xfId="0" applyNumberFormat="1" applyFont="1" applyBorder="1" applyProtection="1">
      <protection hidden="1"/>
    </xf>
    <xf numFmtId="0" fontId="0" fillId="0" borderId="2" xfId="0" applyBorder="1" applyProtection="1">
      <protection hidden="1"/>
    </xf>
    <xf numFmtId="171" fontId="25" fillId="0" borderId="2" xfId="0" applyNumberFormat="1" applyFont="1" applyBorder="1" applyAlignment="1" applyProtection="1">
      <alignment horizontal="right"/>
      <protection hidden="1"/>
    </xf>
    <xf numFmtId="0" fontId="25" fillId="0" borderId="0" xfId="0" applyFont="1" applyProtection="1">
      <protection hidden="1"/>
    </xf>
    <xf numFmtId="0" fontId="11" fillId="0" borderId="0" xfId="0" applyFont="1" applyProtection="1">
      <protection hidden="1"/>
    </xf>
    <xf numFmtId="0" fontId="24" fillId="0" borderId="0" xfId="0" applyFont="1" applyProtection="1">
      <protection hidden="1"/>
    </xf>
    <xf numFmtId="0" fontId="26" fillId="0" borderId="0" xfId="0" applyFont="1" applyAlignment="1" applyProtection="1">
      <alignment horizontal="left" vertical="top" wrapText="1"/>
      <protection hidden="1"/>
    </xf>
    <xf numFmtId="0" fontId="25" fillId="0" borderId="2" xfId="0" applyFont="1" applyBorder="1" applyProtection="1">
      <protection hidden="1"/>
    </xf>
    <xf numFmtId="0" fontId="26" fillId="0" borderId="0" xfId="0" quotePrefix="1" applyFont="1" applyAlignment="1" applyProtection="1">
      <alignment horizontal="left" vertical="top" wrapText="1"/>
      <protection hidden="1"/>
    </xf>
    <xf numFmtId="0" fontId="26" fillId="0" borderId="0" xfId="0" applyFont="1" applyAlignment="1" applyProtection="1">
      <alignment vertical="top" wrapText="1"/>
      <protection hidden="1"/>
    </xf>
    <xf numFmtId="0" fontId="26" fillId="0" borderId="0" xfId="0" applyFont="1" applyProtection="1">
      <protection hidden="1"/>
    </xf>
    <xf numFmtId="0" fontId="29" fillId="0" borderId="0" xfId="0" applyFont="1" applyProtection="1">
      <protection hidden="1"/>
    </xf>
    <xf numFmtId="0" fontId="11" fillId="0" borderId="0" xfId="0" quotePrefix="1" applyFont="1" applyAlignment="1" applyProtection="1">
      <alignment horizontal="left" vertical="top" wrapText="1"/>
      <protection hidden="1"/>
    </xf>
    <xf numFmtId="0" fontId="11" fillId="0" borderId="0" xfId="0" applyFont="1" applyAlignment="1" applyProtection="1">
      <alignment horizontal="left" vertical="top" wrapText="1"/>
      <protection hidden="1"/>
    </xf>
    <xf numFmtId="0" fontId="0" fillId="0" borderId="0" xfId="0" applyAlignment="1" applyProtection="1">
      <alignment horizontal="center"/>
      <protection hidden="1"/>
    </xf>
    <xf numFmtId="2" fontId="0" fillId="0" borderId="0" xfId="0" applyNumberFormat="1" applyProtection="1">
      <protection hidden="1"/>
    </xf>
    <xf numFmtId="171" fontId="0" fillId="15" borderId="0" xfId="0" applyNumberFormat="1" applyFill="1" applyProtection="1">
      <protection locked="0"/>
    </xf>
    <xf numFmtId="0" fontId="22" fillId="0" borderId="145" xfId="0" applyFont="1" applyBorder="1" applyAlignment="1">
      <alignment textRotation="90"/>
    </xf>
    <xf numFmtId="2" fontId="0" fillId="8" borderId="32" xfId="0" applyNumberFormat="1" applyFill="1" applyBorder="1"/>
    <xf numFmtId="1" fontId="0" fillId="0" borderId="32" xfId="0" applyNumberFormat="1" applyBorder="1"/>
    <xf numFmtId="2" fontId="0" fillId="8" borderId="146" xfId="0" applyNumberFormat="1" applyFill="1" applyBorder="1"/>
    <xf numFmtId="2" fontId="23" fillId="8" borderId="145" xfId="0" applyNumberFormat="1" applyFont="1" applyFill="1" applyBorder="1"/>
    <xf numFmtId="2" fontId="23" fillId="8" borderId="32" xfId="0" applyNumberFormat="1" applyFont="1" applyFill="1" applyBorder="1"/>
    <xf numFmtId="0" fontId="0" fillId="15" borderId="0" xfId="0" applyFill="1"/>
    <xf numFmtId="14" fontId="0" fillId="0" borderId="0" xfId="0" applyNumberFormat="1"/>
    <xf numFmtId="0" fontId="26" fillId="0" borderId="0" xfId="0" applyFont="1" applyAlignment="1" applyProtection="1">
      <alignment horizontal="left" vertical="top" wrapText="1"/>
      <protection hidden="1"/>
    </xf>
    <xf numFmtId="0" fontId="26" fillId="0" borderId="0" xfId="0" quotePrefix="1" applyFont="1" applyAlignment="1" applyProtection="1">
      <alignment horizontal="left" vertical="top" wrapText="1"/>
      <protection hidden="1"/>
    </xf>
    <xf numFmtId="0" fontId="36" fillId="9" borderId="34" xfId="0" applyFont="1" applyFill="1" applyBorder="1" applyAlignment="1" applyProtection="1">
      <alignment horizontal="left" vertical="center" wrapText="1"/>
      <protection hidden="1"/>
    </xf>
    <xf numFmtId="0" fontId="36" fillId="9" borderId="0" xfId="0" applyFont="1" applyFill="1" applyAlignment="1" applyProtection="1">
      <alignment horizontal="left" vertical="center" wrapText="1"/>
      <protection hidden="1"/>
    </xf>
    <xf numFmtId="0" fontId="36" fillId="9" borderId="29" xfId="0" applyFont="1" applyFill="1" applyBorder="1" applyAlignment="1" applyProtection="1">
      <alignment horizontal="left" vertical="center" wrapText="1"/>
      <protection hidden="1"/>
    </xf>
    <xf numFmtId="0" fontId="35" fillId="0" borderId="0" xfId="7" applyFont="1" applyAlignment="1" applyProtection="1">
      <alignment horizontal="left"/>
      <protection hidden="1"/>
    </xf>
    <xf numFmtId="0" fontId="26" fillId="12" borderId="0" xfId="0" applyFont="1" applyFill="1" applyAlignment="1" applyProtection="1">
      <alignment horizontal="center" vertical="top" wrapText="1"/>
      <protection hidden="1"/>
    </xf>
    <xf numFmtId="0" fontId="26" fillId="11" borderId="0" xfId="0" applyFont="1" applyFill="1" applyAlignment="1" applyProtection="1">
      <alignment horizontal="center" vertical="top" wrapText="1"/>
      <protection hidden="1"/>
    </xf>
    <xf numFmtId="3" fontId="39" fillId="12" borderId="11" xfId="2" applyNumberFormat="1" applyFont="1" applyFill="1" applyBorder="1" applyAlignment="1" applyProtection="1">
      <alignment wrapText="1"/>
      <protection locked="0"/>
    </xf>
    <xf numFmtId="3" fontId="39" fillId="12" borderId="12" xfId="2" applyNumberFormat="1" applyFont="1" applyFill="1" applyBorder="1" applyAlignment="1" applyProtection="1">
      <alignment wrapText="1"/>
      <protection locked="0"/>
    </xf>
    <xf numFmtId="3" fontId="14" fillId="12" borderId="7" xfId="2" applyNumberFormat="1" applyFont="1" applyFill="1" applyBorder="1" applyAlignment="1" applyProtection="1">
      <alignment wrapText="1"/>
      <protection locked="0"/>
    </xf>
    <xf numFmtId="3" fontId="14" fillId="12" borderId="8" xfId="2" applyNumberFormat="1" applyFont="1" applyFill="1" applyBorder="1" applyAlignment="1" applyProtection="1">
      <alignment wrapText="1"/>
      <protection locked="0"/>
    </xf>
    <xf numFmtId="3" fontId="14" fillId="12" borderId="9" xfId="2" applyNumberFormat="1" applyFont="1" applyFill="1" applyBorder="1" applyAlignment="1" applyProtection="1">
      <alignment wrapText="1"/>
      <protection locked="0"/>
    </xf>
    <xf numFmtId="3" fontId="14" fillId="12" borderId="10" xfId="2" applyNumberFormat="1" applyFont="1" applyFill="1" applyBorder="1" applyAlignment="1" applyProtection="1">
      <alignment wrapText="1"/>
      <protection locked="0"/>
    </xf>
    <xf numFmtId="0" fontId="11" fillId="10" borderId="34" xfId="0" applyFont="1" applyFill="1" applyBorder="1" applyAlignment="1">
      <alignment horizontal="center"/>
    </xf>
    <xf numFmtId="0" fontId="18" fillId="10" borderId="89" xfId="0" applyFont="1" applyFill="1" applyBorder="1" applyAlignment="1">
      <alignment horizontal="center" vertical="top" wrapText="1"/>
    </xf>
    <xf numFmtId="0" fontId="18" fillId="10" borderId="25" xfId="0" applyFont="1" applyFill="1" applyBorder="1" applyAlignment="1">
      <alignment horizontal="center" vertical="top" wrapText="1"/>
    </xf>
    <xf numFmtId="0" fontId="18" fillId="10" borderId="26" xfId="0" applyFont="1" applyFill="1" applyBorder="1" applyAlignment="1">
      <alignment horizontal="center" vertical="top" wrapText="1"/>
    </xf>
    <xf numFmtId="0" fontId="18" fillId="10" borderId="63" xfId="0" applyFont="1" applyFill="1" applyBorder="1" applyAlignment="1">
      <alignment horizontal="center" vertical="top" wrapText="1"/>
    </xf>
    <xf numFmtId="0" fontId="18" fillId="10" borderId="28" xfId="0" applyFont="1" applyFill="1" applyBorder="1" applyAlignment="1">
      <alignment horizontal="center" vertical="top" wrapText="1"/>
    </xf>
    <xf numFmtId="0" fontId="18" fillId="10" borderId="99" xfId="0" applyFont="1" applyFill="1" applyBorder="1" applyAlignment="1">
      <alignment horizontal="center" vertical="top" wrapText="1"/>
    </xf>
    <xf numFmtId="2" fontId="12" fillId="0" borderId="84" xfId="4" applyNumberFormat="1" applyFont="1" applyFill="1" applyBorder="1" applyAlignment="1" applyProtection="1">
      <alignment horizontal="right"/>
    </xf>
    <xf numFmtId="2" fontId="12" fillId="0" borderId="67" xfId="4" applyNumberFormat="1" applyFont="1" applyFill="1" applyBorder="1" applyAlignment="1" applyProtection="1">
      <alignment horizontal="right"/>
    </xf>
    <xf numFmtId="2" fontId="12" fillId="0" borderId="52" xfId="4" applyNumberFormat="1" applyFont="1" applyFill="1" applyBorder="1" applyAlignment="1" applyProtection="1">
      <alignment horizontal="right"/>
    </xf>
    <xf numFmtId="0" fontId="11" fillId="0" borderId="138" xfId="0" applyFont="1" applyBorder="1" applyAlignment="1">
      <alignment horizontal="left"/>
    </xf>
    <xf numFmtId="0" fontId="11" fillId="0" borderId="44" xfId="0" applyFont="1" applyBorder="1" applyAlignment="1">
      <alignment horizontal="left"/>
    </xf>
    <xf numFmtId="0" fontId="11" fillId="0" borderId="45" xfId="0" applyFont="1" applyBorder="1" applyAlignment="1">
      <alignment horizontal="left"/>
    </xf>
    <xf numFmtId="0" fontId="11" fillId="0" borderId="4" xfId="0" applyFont="1" applyBorder="1" applyAlignment="1">
      <alignment horizontal="left"/>
    </xf>
    <xf numFmtId="0" fontId="11" fillId="0" borderId="65" xfId="0" applyFont="1" applyBorder="1" applyAlignment="1">
      <alignment horizontal="left"/>
    </xf>
    <xf numFmtId="0" fontId="11" fillId="0" borderId="47" xfId="0" applyFont="1" applyBorder="1" applyAlignment="1">
      <alignment horizontal="left"/>
    </xf>
    <xf numFmtId="3" fontId="14" fillId="12" borderId="7" xfId="2" applyNumberFormat="1" applyFont="1" applyFill="1" applyBorder="1" applyAlignment="1" applyProtection="1">
      <alignment horizontal="right"/>
      <protection locked="0"/>
    </xf>
    <xf numFmtId="3" fontId="14" fillId="12" borderId="14" xfId="2" applyNumberFormat="1" applyFont="1" applyFill="1" applyBorder="1" applyAlignment="1" applyProtection="1">
      <alignment horizontal="right"/>
      <protection locked="0"/>
    </xf>
    <xf numFmtId="3" fontId="14" fillId="12" borderId="8" xfId="2" applyNumberFormat="1" applyFont="1" applyFill="1" applyBorder="1" applyAlignment="1" applyProtection="1">
      <alignment horizontal="right"/>
      <protection locked="0"/>
    </xf>
    <xf numFmtId="3" fontId="14" fillId="12" borderId="101" xfId="2" applyNumberFormat="1" applyFont="1" applyFill="1" applyBorder="1" applyAlignment="1" applyProtection="1">
      <alignment horizontal="right"/>
      <protection locked="0"/>
    </xf>
    <xf numFmtId="3" fontId="14" fillId="12" borderId="13" xfId="2" applyNumberFormat="1" applyFont="1" applyFill="1" applyBorder="1" applyAlignment="1" applyProtection="1">
      <alignment horizontal="right"/>
      <protection locked="0"/>
    </xf>
    <xf numFmtId="3" fontId="14" fillId="12" borderId="144" xfId="2" applyNumberFormat="1" applyFont="1" applyFill="1" applyBorder="1" applyAlignment="1" applyProtection="1">
      <alignment horizontal="right"/>
      <protection locked="0"/>
    </xf>
    <xf numFmtId="3" fontId="14" fillId="12" borderId="9" xfId="2" applyNumberFormat="1" applyFont="1" applyFill="1" applyBorder="1" applyAlignment="1" applyProtection="1">
      <alignment horizontal="right"/>
      <protection locked="0"/>
    </xf>
    <xf numFmtId="3" fontId="14" fillId="12" borderId="19" xfId="2" applyNumberFormat="1" applyFont="1" applyFill="1" applyBorder="1" applyAlignment="1" applyProtection="1">
      <alignment horizontal="right"/>
      <protection locked="0"/>
    </xf>
    <xf numFmtId="3" fontId="14" fillId="12" borderId="10" xfId="2" applyNumberFormat="1" applyFont="1" applyFill="1" applyBorder="1" applyAlignment="1" applyProtection="1">
      <alignment horizontal="right"/>
      <protection locked="0"/>
    </xf>
    <xf numFmtId="3" fontId="39" fillId="12" borderId="11" xfId="2" applyNumberFormat="1" applyFont="1" applyFill="1" applyBorder="1" applyAlignment="1" applyProtection="1">
      <alignment horizontal="right"/>
      <protection locked="0"/>
    </xf>
    <xf numFmtId="3" fontId="39" fillId="12" borderId="21" xfId="2" applyNumberFormat="1" applyFont="1" applyFill="1" applyBorder="1" applyAlignment="1" applyProtection="1">
      <alignment horizontal="right"/>
      <protection locked="0"/>
    </xf>
    <xf numFmtId="3" fontId="39" fillId="12" borderId="12" xfId="2" applyNumberFormat="1" applyFont="1" applyFill="1" applyBorder="1" applyAlignment="1" applyProtection="1">
      <alignment horizontal="right"/>
      <protection locked="0"/>
    </xf>
    <xf numFmtId="0" fontId="12" fillId="11" borderId="44" xfId="6" applyFont="1" applyFill="1" applyBorder="1" applyAlignment="1" applyProtection="1">
      <alignment horizontal="left"/>
      <protection locked="0"/>
    </xf>
    <xf numFmtId="0" fontId="12" fillId="11" borderId="4" xfId="6" applyFont="1" applyFill="1" applyBorder="1" applyAlignment="1" applyProtection="1">
      <alignment horizontal="left"/>
      <protection locked="0"/>
    </xf>
    <xf numFmtId="0" fontId="12" fillId="11" borderId="47" xfId="6" applyFont="1" applyFill="1" applyBorder="1" applyAlignment="1" applyProtection="1">
      <alignment horizontal="left"/>
      <protection locked="0"/>
    </xf>
    <xf numFmtId="3" fontId="12" fillId="0" borderId="16" xfId="4" applyNumberFormat="1" applyFont="1" applyFill="1" applyBorder="1" applyAlignment="1" applyProtection="1">
      <alignment horizontal="right"/>
    </xf>
    <xf numFmtId="3" fontId="12" fillId="0" borderId="19" xfId="4" applyNumberFormat="1" applyFont="1" applyFill="1" applyBorder="1" applyAlignment="1" applyProtection="1">
      <alignment horizontal="right"/>
    </xf>
    <xf numFmtId="3" fontId="16" fillId="0" borderId="17" xfId="4" applyNumberFormat="1" applyFont="1" applyFill="1" applyBorder="1" applyAlignment="1" applyProtection="1">
      <alignment horizontal="right"/>
    </xf>
    <xf numFmtId="3" fontId="16" fillId="0" borderId="21" xfId="4" applyNumberFormat="1" applyFont="1" applyFill="1" applyBorder="1" applyAlignment="1" applyProtection="1">
      <alignment horizontal="right"/>
    </xf>
    <xf numFmtId="0" fontId="11" fillId="0" borderId="112" xfId="0" applyFont="1" applyBorder="1" applyAlignment="1">
      <alignment horizontal="center"/>
    </xf>
    <xf numFmtId="0" fontId="11" fillId="0" borderId="113" xfId="0" applyFont="1" applyBorder="1" applyAlignment="1">
      <alignment horizontal="center"/>
    </xf>
    <xf numFmtId="0" fontId="11" fillId="0" borderId="114" xfId="0" applyFont="1" applyBorder="1" applyAlignment="1">
      <alignment horizontal="center"/>
    </xf>
    <xf numFmtId="3" fontId="14" fillId="12" borderId="7" xfId="2" applyNumberFormat="1" applyFont="1" applyFill="1" applyBorder="1" applyAlignment="1" applyProtection="1">
      <protection locked="0"/>
    </xf>
    <xf numFmtId="3" fontId="14" fillId="12" borderId="8" xfId="2" applyNumberFormat="1" applyFont="1" applyFill="1" applyBorder="1" applyAlignment="1" applyProtection="1">
      <protection locked="0"/>
    </xf>
    <xf numFmtId="3" fontId="14" fillId="12" borderId="9" xfId="2" applyNumberFormat="1" applyFont="1" applyFill="1" applyBorder="1" applyAlignment="1" applyProtection="1">
      <protection locked="0"/>
    </xf>
    <xf numFmtId="3" fontId="14" fillId="12" borderId="10" xfId="2" applyNumberFormat="1" applyFont="1" applyFill="1" applyBorder="1" applyAlignment="1" applyProtection="1">
      <protection locked="0"/>
    </xf>
    <xf numFmtId="3" fontId="39" fillId="12" borderId="11" xfId="2" applyNumberFormat="1" applyFont="1" applyFill="1" applyBorder="1" applyAlignment="1" applyProtection="1">
      <protection locked="0"/>
    </xf>
    <xf numFmtId="3" fontId="39" fillId="12" borderId="12" xfId="2" applyNumberFormat="1" applyFont="1" applyFill="1" applyBorder="1" applyAlignment="1" applyProtection="1">
      <protection locked="0"/>
    </xf>
    <xf numFmtId="0" fontId="11" fillId="0" borderId="118" xfId="0" applyFont="1" applyBorder="1" applyAlignment="1">
      <alignment horizontal="center"/>
    </xf>
    <xf numFmtId="0" fontId="11" fillId="0" borderId="117" xfId="0" applyFont="1" applyBorder="1" applyAlignment="1">
      <alignment horizontal="center"/>
    </xf>
    <xf numFmtId="3" fontId="12" fillId="0" borderId="15" xfId="4" applyNumberFormat="1" applyFont="1" applyFill="1" applyBorder="1" applyAlignment="1" applyProtection="1"/>
    <xf numFmtId="3" fontId="12" fillId="0" borderId="14" xfId="4" applyNumberFormat="1" applyFont="1" applyFill="1" applyBorder="1" applyAlignment="1" applyProtection="1"/>
    <xf numFmtId="3" fontId="12" fillId="0" borderId="16" xfId="4" applyNumberFormat="1" applyFont="1" applyFill="1" applyBorder="1" applyAlignment="1" applyProtection="1"/>
    <xf numFmtId="3" fontId="12" fillId="0" borderId="19" xfId="4" applyNumberFormat="1" applyFont="1" applyFill="1" applyBorder="1" applyAlignment="1" applyProtection="1"/>
    <xf numFmtId="3" fontId="16" fillId="0" borderId="17" xfId="4" applyNumberFormat="1" applyFont="1" applyFill="1" applyBorder="1" applyAlignment="1" applyProtection="1"/>
    <xf numFmtId="3" fontId="16" fillId="0" borderId="21" xfId="4" applyNumberFormat="1" applyFont="1" applyFill="1" applyBorder="1" applyAlignment="1" applyProtection="1"/>
    <xf numFmtId="3" fontId="12" fillId="0" borderId="123" xfId="4" applyNumberFormat="1" applyFont="1" applyFill="1" applyBorder="1" applyAlignment="1" applyProtection="1"/>
    <xf numFmtId="3" fontId="12" fillId="0" borderId="13" xfId="4" applyNumberFormat="1" applyFont="1" applyFill="1" applyBorder="1" applyAlignment="1" applyProtection="1"/>
    <xf numFmtId="0" fontId="11" fillId="0" borderId="33" xfId="0" applyFont="1" applyBorder="1" applyAlignment="1">
      <alignment horizontal="center"/>
    </xf>
    <xf numFmtId="0" fontId="11" fillId="0" borderId="72" xfId="0" applyFont="1" applyBorder="1" applyAlignment="1">
      <alignment horizontal="center"/>
    </xf>
    <xf numFmtId="14" fontId="11" fillId="0" borderId="4" xfId="0" applyNumberFormat="1" applyFont="1" applyBorder="1" applyAlignment="1">
      <alignment horizontal="left"/>
    </xf>
    <xf numFmtId="14" fontId="11" fillId="0" borderId="46" xfId="0" applyNumberFormat="1" applyFont="1" applyBorder="1" applyAlignment="1">
      <alignment horizontal="left"/>
    </xf>
    <xf numFmtId="14" fontId="11" fillId="0" borderId="47" xfId="0" applyNumberFormat="1" applyFont="1" applyBorder="1" applyAlignment="1">
      <alignment horizontal="left"/>
    </xf>
    <xf numFmtId="14" fontId="11" fillId="0" borderId="126" xfId="0" applyNumberFormat="1" applyFont="1" applyBorder="1" applyAlignment="1">
      <alignment horizontal="left"/>
    </xf>
    <xf numFmtId="0" fontId="11" fillId="0" borderId="63" xfId="0" applyFont="1" applyBorder="1" applyAlignment="1">
      <alignment horizontal="center"/>
    </xf>
    <xf numFmtId="0" fontId="11" fillId="0" borderId="34" xfId="0" applyFont="1" applyBorder="1" applyAlignment="1">
      <alignment horizontal="center"/>
    </xf>
    <xf numFmtId="0" fontId="11" fillId="0" borderId="90" xfId="0" applyFont="1" applyBorder="1" applyAlignment="1">
      <alignment horizontal="center"/>
    </xf>
    <xf numFmtId="0" fontId="11" fillId="0" borderId="36" xfId="0" applyFont="1" applyBorder="1" applyAlignment="1">
      <alignment horizontal="center"/>
    </xf>
    <xf numFmtId="2" fontId="12" fillId="0" borderId="9" xfId="4" applyNumberFormat="1" applyFont="1" applyFill="1" applyBorder="1" applyAlignment="1" applyProtection="1">
      <alignment horizontal="right"/>
    </xf>
    <xf numFmtId="2" fontId="12" fillId="0" borderId="19" xfId="4" applyNumberFormat="1" applyFont="1" applyFill="1" applyBorder="1" applyAlignment="1" applyProtection="1">
      <alignment horizontal="right"/>
    </xf>
    <xf numFmtId="2" fontId="12" fillId="0" borderId="10" xfId="4" applyNumberFormat="1" applyFont="1" applyFill="1" applyBorder="1" applyAlignment="1" applyProtection="1">
      <alignment horizontal="right"/>
    </xf>
    <xf numFmtId="0" fontId="11" fillId="0" borderId="115" xfId="0" applyFont="1" applyBorder="1" applyAlignment="1">
      <alignment horizontal="center"/>
    </xf>
    <xf numFmtId="3" fontId="15" fillId="0" borderId="119" xfId="0" applyNumberFormat="1" applyFont="1" applyBorder="1" applyAlignment="1">
      <alignment horizontal="right"/>
    </xf>
    <xf numFmtId="3" fontId="15" fillId="0" borderId="92" xfId="0" applyNumberFormat="1" applyFont="1" applyBorder="1" applyAlignment="1">
      <alignment horizontal="right"/>
    </xf>
    <xf numFmtId="3" fontId="15" fillId="0" borderId="94" xfId="0" applyNumberFormat="1" applyFont="1" applyBorder="1" applyAlignment="1">
      <alignment horizontal="right"/>
    </xf>
    <xf numFmtId="3" fontId="16" fillId="0" borderId="93" xfId="4" applyNumberFormat="1" applyFont="1" applyFill="1" applyBorder="1" applyAlignment="1" applyProtection="1">
      <alignment horizontal="right"/>
    </xf>
    <xf numFmtId="3" fontId="16" fillId="0" borderId="92" xfId="4" applyNumberFormat="1" applyFont="1" applyFill="1" applyBorder="1" applyAlignment="1" applyProtection="1">
      <alignment horizontal="right"/>
    </xf>
    <xf numFmtId="0" fontId="11" fillId="12" borderId="67" xfId="0" applyFont="1" applyFill="1" applyBorder="1" applyAlignment="1" applyProtection="1">
      <alignment horizontal="center"/>
      <protection locked="0"/>
    </xf>
    <xf numFmtId="0" fontId="11" fillId="12" borderId="54" xfId="0" applyFont="1" applyFill="1" applyBorder="1" applyAlignment="1" applyProtection="1">
      <alignment horizontal="center"/>
      <protection locked="0"/>
    </xf>
    <xf numFmtId="0" fontId="11" fillId="0" borderId="19" xfId="0" applyFont="1" applyBorder="1" applyAlignment="1">
      <alignment horizontal="left"/>
    </xf>
    <xf numFmtId="0" fontId="11" fillId="0" borderId="73" xfId="0" applyFont="1" applyBorder="1" applyAlignment="1">
      <alignment horizontal="left"/>
    </xf>
    <xf numFmtId="0" fontId="11" fillId="12" borderId="19" xfId="0" applyFont="1" applyFill="1" applyBorder="1" applyAlignment="1" applyProtection="1">
      <alignment horizontal="center"/>
      <protection locked="0"/>
    </xf>
    <xf numFmtId="0" fontId="11" fillId="12" borderId="73" xfId="0" applyFont="1" applyFill="1" applyBorder="1" applyAlignment="1" applyProtection="1">
      <alignment horizontal="center"/>
      <protection locked="0"/>
    </xf>
    <xf numFmtId="0" fontId="12" fillId="8" borderId="84" xfId="2" applyFont="1" applyFill="1" applyBorder="1" applyAlignment="1" applyProtection="1">
      <alignment horizontal="center"/>
    </xf>
    <xf numFmtId="0" fontId="12" fillId="8" borderId="67" xfId="2" applyFont="1" applyFill="1" applyBorder="1" applyAlignment="1" applyProtection="1">
      <alignment horizontal="center"/>
    </xf>
    <xf numFmtId="0" fontId="12" fillId="8" borderId="85" xfId="2" applyFont="1" applyFill="1" applyBorder="1" applyAlignment="1" applyProtection="1">
      <alignment horizontal="center"/>
    </xf>
    <xf numFmtId="0" fontId="11" fillId="0" borderId="7" xfId="0" applyFont="1" applyBorder="1" applyAlignment="1">
      <alignment horizontal="center"/>
    </xf>
    <xf numFmtId="0" fontId="11" fillId="0" borderId="14" xfId="0" applyFont="1" applyBorder="1" applyAlignment="1">
      <alignment horizontal="center"/>
    </xf>
    <xf numFmtId="0" fontId="11" fillId="0" borderId="80" xfId="0" applyFont="1" applyBorder="1" applyAlignment="1">
      <alignment horizontal="center"/>
    </xf>
    <xf numFmtId="0" fontId="12" fillId="8" borderId="84" xfId="0" applyFont="1" applyFill="1" applyBorder="1" applyAlignment="1">
      <alignment horizontal="center"/>
    </xf>
    <xf numFmtId="0" fontId="12" fillId="8" borderId="67" xfId="0" applyFont="1" applyFill="1" applyBorder="1" applyAlignment="1">
      <alignment horizontal="center"/>
    </xf>
    <xf numFmtId="0" fontId="12" fillId="8" borderId="54" xfId="0" applyFont="1" applyFill="1" applyBorder="1" applyAlignment="1">
      <alignment horizontal="center"/>
    </xf>
    <xf numFmtId="0" fontId="11" fillId="0" borderId="66" xfId="0" applyFont="1" applyBorder="1" applyAlignment="1">
      <alignment horizontal="left"/>
    </xf>
    <xf numFmtId="0" fontId="11" fillId="0" borderId="95" xfId="0" applyFont="1" applyBorder="1" applyAlignment="1">
      <alignment horizontal="left"/>
    </xf>
    <xf numFmtId="0" fontId="11" fillId="0" borderId="18" xfId="0" applyFont="1" applyBorder="1" applyAlignment="1">
      <alignment horizontal="center"/>
    </xf>
    <xf numFmtId="0" fontId="9" fillId="9" borderId="34" xfId="0" applyFont="1" applyFill="1" applyBorder="1" applyAlignment="1">
      <alignment horizontal="left" vertical="center" wrapText="1"/>
    </xf>
    <xf numFmtId="0" fontId="9" fillId="9" borderId="0" xfId="0" applyFont="1" applyFill="1" applyAlignment="1">
      <alignment horizontal="left" vertical="center" wrapText="1"/>
    </xf>
    <xf numFmtId="0" fontId="9" fillId="9" borderId="29" xfId="0" applyFont="1" applyFill="1" applyBorder="1" applyAlignment="1">
      <alignment horizontal="left" vertical="center" wrapText="1"/>
    </xf>
    <xf numFmtId="0" fontId="11" fillId="0" borderId="104" xfId="0" applyFont="1" applyBorder="1" applyAlignment="1">
      <alignment horizontal="center"/>
    </xf>
    <xf numFmtId="3" fontId="12" fillId="0" borderId="15" xfId="4" applyNumberFormat="1" applyFont="1" applyFill="1" applyBorder="1" applyAlignment="1" applyProtection="1">
      <alignment horizontal="right"/>
    </xf>
    <xf numFmtId="3" fontId="12" fillId="0" borderId="14" xfId="4" applyNumberFormat="1" applyFont="1" applyFill="1" applyBorder="1" applyAlignment="1" applyProtection="1">
      <alignment horizontal="right"/>
    </xf>
    <xf numFmtId="3" fontId="12" fillId="0" borderId="124" xfId="4" applyNumberFormat="1" applyFont="1" applyFill="1" applyBorder="1" applyAlignment="1" applyProtection="1">
      <alignment horizontal="right"/>
    </xf>
    <xf numFmtId="3" fontId="12" fillId="0" borderId="66" xfId="4" applyNumberFormat="1" applyFont="1" applyFill="1" applyBorder="1" applyAlignment="1" applyProtection="1">
      <alignment horizontal="right"/>
    </xf>
    <xf numFmtId="3" fontId="12" fillId="0" borderId="49" xfId="4" applyNumberFormat="1" applyFont="1" applyFill="1" applyBorder="1" applyAlignment="1" applyProtection="1">
      <alignment horizontal="right"/>
    </xf>
    <xf numFmtId="4" fontId="12" fillId="0" borderId="9" xfId="4" applyNumberFormat="1" applyFont="1" applyFill="1" applyBorder="1" applyAlignment="1" applyProtection="1">
      <alignment horizontal="right"/>
    </xf>
    <xf numFmtId="4" fontId="12" fillId="0" borderId="19" xfId="4" applyNumberFormat="1" applyFont="1" applyFill="1" applyBorder="1" applyAlignment="1" applyProtection="1">
      <alignment horizontal="right"/>
    </xf>
    <xf numFmtId="4" fontId="12" fillId="0" borderId="10" xfId="4" applyNumberFormat="1" applyFont="1" applyFill="1" applyBorder="1" applyAlignment="1" applyProtection="1">
      <alignment horizontal="right"/>
    </xf>
    <xf numFmtId="0" fontId="12" fillId="11" borderId="44" xfId="5" applyFont="1" applyFill="1" applyBorder="1" applyAlignment="1" applyProtection="1">
      <alignment horizontal="left"/>
      <protection locked="0"/>
    </xf>
    <xf numFmtId="0" fontId="12" fillId="11" borderId="68" xfId="5" applyFont="1" applyFill="1" applyBorder="1" applyAlignment="1" applyProtection="1">
      <alignment horizontal="left"/>
      <protection locked="0"/>
    </xf>
    <xf numFmtId="14" fontId="12" fillId="11" borderId="4" xfId="6" applyNumberFormat="1" applyFont="1" applyFill="1" applyBorder="1" applyAlignment="1" applyProtection="1">
      <alignment horizontal="left"/>
      <protection locked="0"/>
    </xf>
    <xf numFmtId="14" fontId="12" fillId="11" borderId="46" xfId="6" applyNumberFormat="1" applyFont="1" applyFill="1" applyBorder="1" applyAlignment="1" applyProtection="1">
      <alignment horizontal="left"/>
      <protection locked="0"/>
    </xf>
    <xf numFmtId="0" fontId="11" fillId="0" borderId="105" xfId="0" applyFont="1" applyBorder="1" applyAlignment="1">
      <alignment horizontal="center"/>
    </xf>
    <xf numFmtId="0" fontId="12" fillId="0" borderId="44" xfId="0" applyFont="1" applyBorder="1" applyAlignment="1">
      <alignment horizontal="left"/>
    </xf>
    <xf numFmtId="0" fontId="12" fillId="0" borderId="4" xfId="0" applyFont="1" applyBorder="1" applyAlignment="1">
      <alignment horizontal="left"/>
    </xf>
    <xf numFmtId="0" fontId="11" fillId="0" borderId="96" xfId="0" applyFont="1" applyBorder="1" applyAlignment="1">
      <alignment horizontal="center"/>
    </xf>
    <xf numFmtId="0" fontId="11" fillId="0" borderId="97" xfId="0" applyFont="1" applyBorder="1" applyAlignment="1">
      <alignment horizontal="center"/>
    </xf>
    <xf numFmtId="0" fontId="11" fillId="0" borderId="108" xfId="0" applyFont="1" applyBorder="1" applyAlignment="1">
      <alignment horizontal="center"/>
    </xf>
    <xf numFmtId="0" fontId="11" fillId="0" borderId="120" xfId="0" applyFont="1" applyBorder="1" applyAlignment="1">
      <alignment horizontal="center"/>
    </xf>
    <xf numFmtId="0" fontId="12" fillId="0" borderId="47" xfId="6" applyFont="1" applyFill="1" applyBorder="1" applyAlignment="1" applyProtection="1">
      <alignment horizontal="left"/>
    </xf>
    <xf numFmtId="0" fontId="11" fillId="0" borderId="106" xfId="0" applyFont="1" applyBorder="1" applyAlignment="1">
      <alignment horizontal="center"/>
    </xf>
    <xf numFmtId="0" fontId="11" fillId="0" borderId="100" xfId="0" applyFont="1" applyBorder="1" applyAlignment="1">
      <alignment horizontal="center"/>
    </xf>
    <xf numFmtId="0" fontId="11" fillId="0" borderId="128" xfId="0" applyFont="1" applyBorder="1" applyAlignment="1">
      <alignment horizontal="center"/>
    </xf>
    <xf numFmtId="0" fontId="11" fillId="0" borderId="129" xfId="0" applyFont="1" applyBorder="1" applyAlignment="1">
      <alignment horizontal="center"/>
    </xf>
    <xf numFmtId="0" fontId="11" fillId="0" borderId="124" xfId="0" applyFont="1" applyBorder="1" applyAlignment="1">
      <alignment horizontal="center"/>
    </xf>
    <xf numFmtId="0" fontId="11" fillId="0" borderId="125" xfId="0" applyFont="1" applyBorder="1" applyAlignment="1">
      <alignment horizontal="center"/>
    </xf>
    <xf numFmtId="0" fontId="12" fillId="0" borderId="44" xfId="5" applyFont="1" applyFill="1" applyBorder="1" applyAlignment="1" applyProtection="1">
      <alignment horizontal="left"/>
    </xf>
    <xf numFmtId="0" fontId="12" fillId="0" borderId="68" xfId="5" applyFont="1" applyFill="1" applyBorder="1" applyAlignment="1" applyProtection="1">
      <alignment horizontal="left"/>
    </xf>
    <xf numFmtId="171" fontId="12" fillId="0" borderId="4" xfId="5" applyNumberFormat="1" applyFont="1" applyFill="1" applyBorder="1" applyAlignment="1" applyProtection="1">
      <alignment horizontal="left"/>
    </xf>
    <xf numFmtId="171" fontId="12" fillId="0" borderId="46" xfId="5" applyNumberFormat="1" applyFont="1" applyFill="1" applyBorder="1" applyAlignment="1" applyProtection="1">
      <alignment horizontal="left"/>
    </xf>
    <xf numFmtId="0" fontId="11" fillId="9" borderId="34" xfId="0" applyFont="1" applyFill="1" applyBorder="1" applyAlignment="1">
      <alignment horizontal="left" vertical="center" wrapText="1"/>
    </xf>
    <xf numFmtId="0" fontId="11" fillId="9" borderId="0" xfId="0" applyFont="1" applyFill="1" applyAlignment="1">
      <alignment horizontal="left" vertical="center" wrapText="1"/>
    </xf>
    <xf numFmtId="0" fontId="11" fillId="9" borderId="29" xfId="0" applyFont="1" applyFill="1" applyBorder="1" applyAlignment="1">
      <alignment horizontal="left" vertical="center" wrapText="1"/>
    </xf>
    <xf numFmtId="0" fontId="12" fillId="0" borderId="44" xfId="6" applyFont="1" applyFill="1" applyBorder="1" applyAlignment="1" applyProtection="1">
      <alignment horizontal="left"/>
    </xf>
    <xf numFmtId="0" fontId="12" fillId="0" borderId="4" xfId="6" applyFont="1" applyFill="1" applyBorder="1" applyAlignment="1" applyProtection="1">
      <alignment horizontal="left"/>
    </xf>
    <xf numFmtId="0" fontId="11" fillId="0" borderId="0" xfId="0" applyFont="1" applyAlignment="1">
      <alignment horizontal="left"/>
    </xf>
    <xf numFmtId="0" fontId="11" fillId="6" borderId="19" xfId="0" applyFont="1" applyFill="1" applyBorder="1" applyAlignment="1">
      <alignment horizontal="left"/>
    </xf>
    <xf numFmtId="0" fontId="11" fillId="6" borderId="73" xfId="0" applyFont="1" applyFill="1" applyBorder="1" applyAlignment="1">
      <alignment horizontal="left"/>
    </xf>
    <xf numFmtId="14" fontId="12" fillId="0" borderId="4" xfId="5" applyNumberFormat="1" applyFont="1" applyFill="1" applyBorder="1" applyAlignment="1" applyProtection="1">
      <alignment horizontal="left"/>
    </xf>
    <xf numFmtId="14" fontId="12" fillId="0" borderId="46" xfId="5" applyNumberFormat="1" applyFont="1" applyFill="1" applyBorder="1" applyAlignment="1" applyProtection="1">
      <alignment horizontal="left"/>
    </xf>
    <xf numFmtId="0" fontId="11" fillId="6" borderId="47" xfId="0" applyFont="1" applyFill="1" applyBorder="1" applyAlignment="1">
      <alignment horizontal="left"/>
    </xf>
    <xf numFmtId="14" fontId="12" fillId="0" borderId="47" xfId="5" applyNumberFormat="1" applyFont="1" applyFill="1" applyBorder="1" applyAlignment="1" applyProtection="1">
      <alignment horizontal="left"/>
    </xf>
    <xf numFmtId="14" fontId="12" fillId="0" borderId="126" xfId="5" applyNumberFormat="1" applyFont="1" applyFill="1" applyBorder="1" applyAlignment="1" applyProtection="1">
      <alignment horizontal="left"/>
    </xf>
    <xf numFmtId="0" fontId="11" fillId="12" borderId="44" xfId="0" applyFont="1" applyFill="1" applyBorder="1" applyAlignment="1" applyProtection="1">
      <alignment horizontal="left"/>
      <protection locked="0"/>
    </xf>
    <xf numFmtId="0" fontId="11" fillId="0" borderId="65" xfId="0" applyFont="1" applyBorder="1"/>
    <xf numFmtId="0" fontId="11" fillId="0" borderId="47" xfId="0" applyFont="1" applyBorder="1"/>
    <xf numFmtId="0" fontId="11" fillId="0" borderId="69" xfId="0" applyFont="1" applyBorder="1" applyAlignment="1">
      <alignment horizontal="left"/>
    </xf>
    <xf numFmtId="0" fontId="11" fillId="0" borderId="25" xfId="0" applyFont="1" applyBorder="1" applyAlignment="1">
      <alignment horizontal="center" wrapText="1"/>
    </xf>
    <xf numFmtId="0" fontId="11" fillId="0" borderId="37" xfId="0" applyFont="1" applyBorder="1" applyAlignment="1">
      <alignment horizontal="left" vertical="center" wrapText="1"/>
    </xf>
    <xf numFmtId="0" fontId="11" fillId="0" borderId="0" xfId="0" applyFont="1" applyAlignment="1">
      <alignment horizontal="left" vertical="center" wrapText="1"/>
    </xf>
    <xf numFmtId="0" fontId="11" fillId="0" borderId="38" xfId="0" applyFont="1" applyBorder="1" applyAlignment="1">
      <alignment horizontal="left" vertical="center" wrapText="1"/>
    </xf>
    <xf numFmtId="0" fontId="11" fillId="11" borderId="44" xfId="0" applyFont="1" applyFill="1" applyBorder="1" applyAlignment="1" applyProtection="1">
      <alignment horizontal="left"/>
      <protection locked="0"/>
    </xf>
    <xf numFmtId="0" fontId="11" fillId="0" borderId="28" xfId="0" applyFont="1" applyBorder="1" applyAlignment="1">
      <alignment horizontal="center" wrapText="1"/>
    </xf>
    <xf numFmtId="0" fontId="11" fillId="0" borderId="0" xfId="0" applyFont="1" applyAlignment="1">
      <alignment horizontal="center" wrapText="1"/>
    </xf>
    <xf numFmtId="0" fontId="11" fillId="0" borderId="24" xfId="0" applyFont="1" applyBorder="1" applyAlignment="1">
      <alignment horizontal="center" wrapText="1"/>
    </xf>
    <xf numFmtId="0" fontId="22" fillId="0" borderId="32" xfId="0" applyFont="1" applyBorder="1" applyAlignment="1">
      <alignment horizontal="center" textRotation="90"/>
    </xf>
    <xf numFmtId="0" fontId="22" fillId="0" borderId="146" xfId="0" applyFont="1" applyBorder="1" applyAlignment="1">
      <alignment horizontal="center" textRotation="90"/>
    </xf>
    <xf numFmtId="171" fontId="22" fillId="0" borderId="0" xfId="0" applyNumberFormat="1" applyFont="1" applyAlignment="1">
      <alignment horizontal="center" wrapText="1"/>
    </xf>
    <xf numFmtId="0" fontId="0" fillId="8" borderId="0" xfId="0" applyFill="1" applyAlignment="1" applyProtection="1">
      <alignment horizontal="left" vertical="top" wrapText="1"/>
      <protection locked="0"/>
    </xf>
    <xf numFmtId="0" fontId="0" fillId="8" borderId="0" xfId="0" applyFill="1" applyAlignment="1" applyProtection="1">
      <alignment horizontal="left" vertical="top"/>
      <protection locked="0"/>
    </xf>
    <xf numFmtId="0" fontId="0" fillId="0" borderId="118" xfId="0" applyBorder="1" applyAlignment="1">
      <alignment horizontal="center"/>
    </xf>
    <xf numFmtId="0" fontId="0" fillId="0" borderId="114" xfId="0" applyBorder="1" applyAlignment="1">
      <alignment horizontal="center"/>
    </xf>
    <xf numFmtId="0" fontId="0" fillId="8" borderId="0" xfId="0" applyFill="1" applyAlignment="1" applyProtection="1">
      <alignment horizontal="left"/>
      <protection locked="0"/>
    </xf>
    <xf numFmtId="0" fontId="0" fillId="0" borderId="37" xfId="0" applyBorder="1" applyAlignment="1">
      <alignment horizontal="center" vertical="center"/>
    </xf>
    <xf numFmtId="0" fontId="0" fillId="0" borderId="0" xfId="0" applyAlignment="1">
      <alignment horizontal="center" vertical="center"/>
    </xf>
    <xf numFmtId="0" fontId="0" fillId="0" borderId="34" xfId="0" applyBorder="1" applyAlignment="1">
      <alignment horizontal="center" vertical="top"/>
    </xf>
    <xf numFmtId="0" fontId="0" fillId="0" borderId="37" xfId="0" applyBorder="1" applyAlignment="1">
      <alignment horizontal="left" vertical="center"/>
    </xf>
    <xf numFmtId="0" fontId="0" fillId="0" borderId="0" xfId="0" applyAlignment="1">
      <alignment horizontal="left" vertical="center"/>
    </xf>
    <xf numFmtId="0" fontId="0" fillId="0" borderId="34" xfId="0" applyBorder="1" applyAlignment="1">
      <alignment horizontal="center"/>
    </xf>
    <xf numFmtId="0" fontId="9" fillId="0" borderId="75" xfId="0" applyFont="1" applyBorder="1" applyAlignment="1">
      <alignment horizontal="center"/>
    </xf>
    <xf numFmtId="0" fontId="9" fillId="0" borderId="33" xfId="0" applyFont="1" applyBorder="1" applyAlignment="1">
      <alignment horizontal="center"/>
    </xf>
    <xf numFmtId="0" fontId="9" fillId="0" borderId="72" xfId="0" applyFont="1" applyBorder="1" applyAlignment="1">
      <alignment horizontal="center"/>
    </xf>
    <xf numFmtId="0" fontId="0" fillId="7" borderId="35" xfId="0" applyFill="1" applyBorder="1" applyAlignment="1">
      <alignment horizontal="center"/>
    </xf>
    <xf numFmtId="0" fontId="0" fillId="7" borderId="34" xfId="0" applyFill="1" applyBorder="1" applyAlignment="1">
      <alignment horizontal="center"/>
    </xf>
    <xf numFmtId="0" fontId="0" fillId="7" borderId="36" xfId="0" applyFill="1" applyBorder="1" applyAlignment="1">
      <alignment horizontal="center"/>
    </xf>
    <xf numFmtId="0" fontId="0" fillId="7" borderId="37" xfId="0" applyFill="1" applyBorder="1" applyAlignment="1">
      <alignment horizontal="center"/>
    </xf>
    <xf numFmtId="0" fontId="0" fillId="7" borderId="0" xfId="0" applyFill="1" applyAlignment="1">
      <alignment horizontal="center"/>
    </xf>
    <xf numFmtId="0" fontId="0" fillId="7" borderId="38" xfId="0" applyFill="1" applyBorder="1" applyAlignment="1">
      <alignment horizontal="center"/>
    </xf>
    <xf numFmtId="0" fontId="0" fillId="7" borderId="39" xfId="0" applyFill="1" applyBorder="1" applyAlignment="1">
      <alignment horizontal="center"/>
    </xf>
    <xf numFmtId="0" fontId="0" fillId="7" borderId="29" xfId="0" applyFill="1" applyBorder="1" applyAlignment="1">
      <alignment horizontal="center"/>
    </xf>
    <xf numFmtId="0" fontId="0" fillId="7" borderId="40" xfId="0" applyFill="1" applyBorder="1" applyAlignment="1">
      <alignment horizontal="center"/>
    </xf>
    <xf numFmtId="164" fontId="0" fillId="0" borderId="34" xfId="0" applyNumberFormat="1" applyBorder="1" applyAlignment="1">
      <alignment horizontal="center" vertical="top"/>
    </xf>
    <xf numFmtId="0" fontId="26" fillId="9" borderId="34" xfId="0" applyFont="1" applyFill="1" applyBorder="1" applyAlignment="1">
      <alignment horizontal="left" vertical="center" wrapText="1"/>
    </xf>
    <xf numFmtId="0" fontId="26" fillId="9" borderId="36" xfId="0" applyFont="1" applyFill="1" applyBorder="1" applyAlignment="1">
      <alignment horizontal="left" vertical="center" wrapText="1"/>
    </xf>
    <xf numFmtId="0" fontId="26" fillId="9" borderId="0" xfId="0" applyFont="1" applyFill="1" applyAlignment="1">
      <alignment horizontal="left" vertical="center" wrapText="1"/>
    </xf>
    <xf numFmtId="0" fontId="26" fillId="9" borderId="38" xfId="0" applyFont="1" applyFill="1" applyBorder="1" applyAlignment="1">
      <alignment horizontal="left" vertical="center" wrapText="1"/>
    </xf>
    <xf numFmtId="0" fontId="26" fillId="9" borderId="29" xfId="0" applyFont="1" applyFill="1" applyBorder="1" applyAlignment="1">
      <alignment horizontal="left" vertical="center" wrapText="1"/>
    </xf>
    <xf numFmtId="0" fontId="26" fillId="9" borderId="40" xfId="0" applyFont="1" applyFill="1" applyBorder="1" applyAlignment="1">
      <alignment horizontal="left" vertical="center" wrapText="1"/>
    </xf>
    <xf numFmtId="0" fontId="9" fillId="0" borderId="41" xfId="0" applyFont="1" applyBorder="1" applyAlignment="1">
      <alignment horizontal="left"/>
    </xf>
    <xf numFmtId="0" fontId="9" fillId="0" borderId="42" xfId="0" applyFont="1" applyBorder="1" applyAlignment="1">
      <alignment horizontal="left"/>
    </xf>
    <xf numFmtId="0" fontId="9" fillId="0" borderId="43" xfId="0" applyFont="1" applyBorder="1" applyAlignment="1">
      <alignment horizontal="left"/>
    </xf>
    <xf numFmtId="0" fontId="0" fillId="0" borderId="0" xfId="0" applyAlignment="1">
      <alignment horizontal="left" vertical="top" wrapText="1"/>
    </xf>
  </cellXfs>
  <cellStyles count="8">
    <cellStyle name="Ausgabe" xfId="3" builtinId="21"/>
    <cellStyle name="Berechnung" xfId="4" builtinId="22"/>
    <cellStyle name="Eingabe" xfId="2" builtinId="20"/>
    <cellStyle name="Gut" xfId="5" builtinId="26"/>
    <cellStyle name="Link" xfId="7" builtinId="8"/>
    <cellStyle name="Schlecht" xfId="6" builtinId="27"/>
    <cellStyle name="Standard" xfId="0" builtinId="0"/>
    <cellStyle name="Standard 2" xfId="1" xr:uid="{00000000-0005-0000-0000-000007000000}"/>
  </cellStyles>
  <dxfs count="5">
    <dxf>
      <font>
        <color theme="0"/>
      </font>
    </dxf>
    <dxf>
      <font>
        <color theme="0"/>
      </font>
    </dxf>
    <dxf>
      <font>
        <color theme="0"/>
      </font>
    </dxf>
    <dxf>
      <fill>
        <patternFill>
          <bgColor theme="9" tint="0.39994506668294322"/>
        </patternFill>
      </fill>
    </dxf>
    <dxf>
      <fill>
        <patternFill>
          <bgColor theme="9" tint="0.39994506668294322"/>
        </patternFill>
      </fill>
    </dxf>
  </dxfs>
  <tableStyles count="0" defaultTableStyle="TableStyleMedium2" defaultPivotStyle="PivotStyleLight16"/>
  <colors>
    <mruColors>
      <color rgb="FFFFCCFF"/>
      <color rgb="FFFFFF66"/>
      <color rgb="FFFFFF99"/>
      <color rgb="FFF2F2F2"/>
      <color rgb="FFFFFFCC"/>
      <color rgb="FFFEC4BE"/>
      <color rgb="FFFD7D6F"/>
      <color rgb="FF068FBA"/>
      <color rgb="FFF5750B"/>
      <color rgb="FFF880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13730618590135"/>
          <c:y val="8.0291444968167092E-2"/>
          <c:w val="0.81340932933658427"/>
          <c:h val="0.79121952068124946"/>
        </c:manualLayout>
      </c:layout>
      <c:barChart>
        <c:barDir val="col"/>
        <c:grouping val="clustered"/>
        <c:varyColors val="0"/>
        <c:ser>
          <c:idx val="0"/>
          <c:order val="0"/>
          <c:tx>
            <c:strRef>
              <c:f>Wirtschaftlichkeit_Wunsch!$N$3</c:f>
              <c:strCache>
                <c:ptCount val="1"/>
                <c:pt idx="0">
                  <c:v>Kapital neg Entwicklung [CHF]</c:v>
                </c:pt>
              </c:strCache>
            </c:strRef>
          </c:tx>
          <c:spPr>
            <a:solidFill>
              <a:schemeClr val="accent2"/>
            </a:solidFill>
            <a:ln>
              <a:noFill/>
            </a:ln>
            <a:effectLst/>
          </c:spPr>
          <c:invertIfNegative val="0"/>
          <c:cat>
            <c:numRef>
              <c:f>Wirtschaftlichkeit_Wunsch!$B$5:$B$35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Wirtschaftlichkeit_Wunsch!$N$5:$N$35</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0-52D0-4610-9CAF-2C02821BA62D}"/>
            </c:ext>
          </c:extLst>
        </c:ser>
        <c:ser>
          <c:idx val="1"/>
          <c:order val="1"/>
          <c:tx>
            <c:strRef>
              <c:f>Wirtschaftlichkeit_Wunsch!$O$3</c:f>
              <c:strCache>
                <c:ptCount val="1"/>
                <c:pt idx="0">
                  <c:v>Kapital pos Entwicklung [CHF]</c:v>
                </c:pt>
              </c:strCache>
            </c:strRef>
          </c:tx>
          <c:spPr>
            <a:solidFill>
              <a:schemeClr val="tx2">
                <a:lumMod val="60000"/>
                <a:lumOff val="40000"/>
              </a:schemeClr>
            </a:solidFill>
            <a:ln w="25400">
              <a:noFill/>
            </a:ln>
            <a:effectLst/>
          </c:spPr>
          <c:invertIfNegative val="0"/>
          <c:cat>
            <c:numRef>
              <c:f>Wirtschaftlichkeit_Wunsch!$B$5:$B$35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Wirtschaftlichkeit_Wunsch!$O$5:$O$35</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1-52D0-4610-9CAF-2C02821BA62D}"/>
            </c:ext>
          </c:extLst>
        </c:ser>
        <c:dLbls>
          <c:showLegendKey val="0"/>
          <c:showVal val="0"/>
          <c:showCatName val="0"/>
          <c:showSerName val="0"/>
          <c:showPercent val="0"/>
          <c:showBubbleSize val="0"/>
        </c:dLbls>
        <c:gapWidth val="150"/>
        <c:axId val="486003600"/>
        <c:axId val="486006344"/>
      </c:barChart>
      <c:catAx>
        <c:axId val="48600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86006344"/>
        <c:crosses val="autoZero"/>
        <c:auto val="1"/>
        <c:lblAlgn val="ctr"/>
        <c:lblOffset val="100"/>
        <c:noMultiLvlLbl val="0"/>
      </c:catAx>
      <c:valAx>
        <c:axId val="4860063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8600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0779452304963"/>
          <c:y val="8.0291444968167092E-2"/>
          <c:w val="0.79034446174048389"/>
          <c:h val="0.79500929583057778"/>
        </c:manualLayout>
      </c:layout>
      <c:barChart>
        <c:barDir val="col"/>
        <c:grouping val="clustered"/>
        <c:varyColors val="0"/>
        <c:ser>
          <c:idx val="0"/>
          <c:order val="0"/>
          <c:tx>
            <c:strRef>
              <c:f>Wirtschaftlichkeit_Max!$N$3</c:f>
              <c:strCache>
                <c:ptCount val="1"/>
                <c:pt idx="0">
                  <c:v>Kapital neg Entwicklung [CHF]</c:v>
                </c:pt>
              </c:strCache>
            </c:strRef>
          </c:tx>
          <c:spPr>
            <a:solidFill>
              <a:schemeClr val="accent2"/>
            </a:solidFill>
            <a:ln>
              <a:noFill/>
            </a:ln>
            <a:effectLst/>
          </c:spPr>
          <c:invertIfNegative val="0"/>
          <c:cat>
            <c:numRef>
              <c:f>Wirtschaftlichkeit_Max!Wirtschaftlichkeit_Achsenbeschriftung</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[0]!Wirtschaftlichkeit_neg_Entwicklung</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0-27FD-4873-8758-4B390A891B52}"/>
            </c:ext>
          </c:extLst>
        </c:ser>
        <c:ser>
          <c:idx val="1"/>
          <c:order val="1"/>
          <c:tx>
            <c:strRef>
              <c:f>Wirtschaftlichkeit_Max!$O$3</c:f>
              <c:strCache>
                <c:ptCount val="1"/>
                <c:pt idx="0">
                  <c:v>Kapital pos Entwicklung [CHF]</c:v>
                </c:pt>
              </c:strCache>
            </c:strRef>
          </c:tx>
          <c:spPr>
            <a:solidFill>
              <a:schemeClr val="tx2">
                <a:lumMod val="60000"/>
                <a:lumOff val="40000"/>
              </a:schemeClr>
            </a:solidFill>
            <a:ln w="25400">
              <a:noFill/>
            </a:ln>
            <a:effectLst/>
          </c:spPr>
          <c:invertIfNegative val="0"/>
          <c:cat>
            <c:numRef>
              <c:f>Wirtschaftlichkeit_Max!Wirtschaftlichkeit_Achsenbeschriftung</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[0]!Wirtschaftlichkeit_pos_Entwicklung</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1-27FD-4873-8758-4B390A891B52}"/>
            </c:ext>
          </c:extLst>
        </c:ser>
        <c:dLbls>
          <c:showLegendKey val="0"/>
          <c:showVal val="0"/>
          <c:showCatName val="0"/>
          <c:showSerName val="0"/>
          <c:showPercent val="0"/>
          <c:showBubbleSize val="0"/>
        </c:dLbls>
        <c:gapWidth val="150"/>
        <c:axId val="486003600"/>
        <c:axId val="486006344"/>
      </c:barChart>
      <c:catAx>
        <c:axId val="48600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86006344"/>
        <c:crosses val="autoZero"/>
        <c:auto val="1"/>
        <c:lblAlgn val="ctr"/>
        <c:lblOffset val="100"/>
        <c:noMultiLvlLbl val="0"/>
      </c:catAx>
      <c:valAx>
        <c:axId val="4860063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8600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Kapitalentwicklung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6767035258283429E-2"/>
          <c:y val="8.0291444968167092E-2"/>
          <c:w val="0.89200313615142912"/>
          <c:h val="0.83264507737410054"/>
        </c:manualLayout>
      </c:layout>
      <c:areaChart>
        <c:grouping val="standard"/>
        <c:varyColors val="0"/>
        <c:ser>
          <c:idx val="0"/>
          <c:order val="0"/>
          <c:tx>
            <c:strRef>
              <c:f>Wirtschaftlichkeit_Max!$N$3</c:f>
              <c:strCache>
                <c:ptCount val="1"/>
                <c:pt idx="0">
                  <c:v>Kapital neg Entwicklung [CHF]</c:v>
                </c:pt>
              </c:strCache>
            </c:strRef>
          </c:tx>
          <c:spPr>
            <a:solidFill>
              <a:schemeClr val="accent2"/>
            </a:solidFill>
            <a:ln>
              <a:noFill/>
            </a:ln>
            <a:effectLst/>
          </c:spPr>
          <c:cat>
            <c:numRef>
              <c:f>Wirtschaftlichkeit_Max!Wirtschaftlichkeit_Achsenbeschriftung</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[0]!Wirtschaftlichkeit_neg_Entwicklung</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0-7C76-45B3-A879-65720D67BEF0}"/>
            </c:ext>
          </c:extLst>
        </c:ser>
        <c:ser>
          <c:idx val="1"/>
          <c:order val="1"/>
          <c:tx>
            <c:strRef>
              <c:f>Wirtschaftlichkeit_Max!$O$3</c:f>
              <c:strCache>
                <c:ptCount val="1"/>
                <c:pt idx="0">
                  <c:v>Kapital pos Entwicklung [CHF]</c:v>
                </c:pt>
              </c:strCache>
            </c:strRef>
          </c:tx>
          <c:spPr>
            <a:solidFill>
              <a:schemeClr val="tx2">
                <a:lumMod val="60000"/>
                <a:lumOff val="40000"/>
              </a:schemeClr>
            </a:solidFill>
            <a:ln w="25400">
              <a:noFill/>
            </a:ln>
            <a:effectLst/>
          </c:spPr>
          <c:cat>
            <c:numRef>
              <c:f>Wirtschaftlichkeit_Max!Wirtschaftlichkeit_Achsenbeschriftung</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[0]!Wirtschaftlichkeit_pos_Entwicklung</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1-7C76-45B3-A879-65720D67BEF0}"/>
            </c:ext>
          </c:extLst>
        </c:ser>
        <c:dLbls>
          <c:showLegendKey val="0"/>
          <c:showVal val="0"/>
          <c:showCatName val="0"/>
          <c:showSerName val="0"/>
          <c:showPercent val="0"/>
          <c:showBubbleSize val="0"/>
        </c:dLbls>
        <c:axId val="486003600"/>
        <c:axId val="486006344"/>
      </c:areaChart>
      <c:catAx>
        <c:axId val="4860036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CH"/>
                  <a:t>Laufzeit [Jahre]</a:t>
                </a:r>
              </a:p>
            </c:rich>
          </c:tx>
          <c:layout>
            <c:manualLayout>
              <c:xMode val="edge"/>
              <c:yMode val="edge"/>
              <c:x val="0.48641018952702469"/>
              <c:y val="0.9404046482524298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86006344"/>
        <c:crosses val="autoZero"/>
        <c:auto val="1"/>
        <c:lblAlgn val="ctr"/>
        <c:lblOffset val="100"/>
        <c:noMultiLvlLbl val="0"/>
      </c:catAx>
      <c:valAx>
        <c:axId val="4860063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CH"/>
                  <a:t>Kapitalentwicklung</a:t>
                </a:r>
                <a:r>
                  <a:rPr lang="de-CH" baseline="0"/>
                  <a:t> [CHF]</a:t>
                </a:r>
                <a:endParaRPr lang="de-CH"/>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CH"/>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8600360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CH"/>
              <a:t>Kapitalentwicklung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6767035258283429E-2"/>
          <c:y val="8.0291444968167092E-2"/>
          <c:w val="0.89200313615142912"/>
          <c:h val="0.83264507737410054"/>
        </c:manualLayout>
      </c:layout>
      <c:areaChart>
        <c:grouping val="standard"/>
        <c:varyColors val="0"/>
        <c:ser>
          <c:idx val="0"/>
          <c:order val="0"/>
          <c:tx>
            <c:strRef>
              <c:f>Wirtschaftlichkeit_Wunsch!$N$3</c:f>
              <c:strCache>
                <c:ptCount val="1"/>
                <c:pt idx="0">
                  <c:v>Kapital neg Entwicklung [CHF]</c:v>
                </c:pt>
              </c:strCache>
            </c:strRef>
          </c:tx>
          <c:spPr>
            <a:solidFill>
              <a:schemeClr val="accent2"/>
            </a:solidFill>
            <a:ln>
              <a:noFill/>
            </a:ln>
            <a:effectLst/>
          </c:spPr>
          <c:cat>
            <c:numRef>
              <c:f>Wirtschaftlichkeit_Wunsch!$B$5:$B$35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Wirtschaftlichkeit_Wunsch!$N$5:$N$35</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0-A38A-4121-909E-B27597D05BAC}"/>
            </c:ext>
          </c:extLst>
        </c:ser>
        <c:ser>
          <c:idx val="1"/>
          <c:order val="1"/>
          <c:tx>
            <c:strRef>
              <c:f>Wirtschaftlichkeit_Wunsch!$O$3</c:f>
              <c:strCache>
                <c:ptCount val="1"/>
                <c:pt idx="0">
                  <c:v>Kapital pos Entwicklung [CHF]</c:v>
                </c:pt>
              </c:strCache>
            </c:strRef>
          </c:tx>
          <c:spPr>
            <a:solidFill>
              <a:schemeClr val="tx2">
                <a:lumMod val="60000"/>
                <a:lumOff val="40000"/>
              </a:schemeClr>
            </a:solidFill>
            <a:ln w="25400">
              <a:noFill/>
            </a:ln>
            <a:effectLst/>
          </c:spPr>
          <c:cat>
            <c:numRef>
              <c:f>Wirtschaftlichkeit_Wunsch!$B$5:$B$35</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Wirtschaftlichkeit_Wunsch!$O$5:$O$35</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1-A38A-4121-909E-B27597D05BAC}"/>
            </c:ext>
          </c:extLst>
        </c:ser>
        <c:dLbls>
          <c:showLegendKey val="0"/>
          <c:showVal val="0"/>
          <c:showCatName val="0"/>
          <c:showSerName val="0"/>
          <c:showPercent val="0"/>
          <c:showBubbleSize val="0"/>
        </c:dLbls>
        <c:axId val="486003600"/>
        <c:axId val="486006344"/>
      </c:areaChart>
      <c:catAx>
        <c:axId val="4860036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CH"/>
                  <a:t>Laufzeit [Jahre]</a:t>
                </a:r>
              </a:p>
            </c:rich>
          </c:tx>
          <c:layout>
            <c:manualLayout>
              <c:xMode val="edge"/>
              <c:yMode val="edge"/>
              <c:x val="0.48641018952702469"/>
              <c:y val="0.9404046482524298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86006344"/>
        <c:crosses val="autoZero"/>
        <c:auto val="1"/>
        <c:lblAlgn val="ctr"/>
        <c:lblOffset val="100"/>
        <c:noMultiLvlLbl val="0"/>
      </c:catAx>
      <c:valAx>
        <c:axId val="4860063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CH"/>
                  <a:t>Kapitalentwicklung</a:t>
                </a:r>
                <a:r>
                  <a:rPr lang="de-CH" baseline="0"/>
                  <a:t> [CHF]</a:t>
                </a:r>
                <a:endParaRPr lang="de-CH"/>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CH"/>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8600360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6.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19.xml.rels><?xml version="1.0" encoding="UTF-8" standalone="yes"?>
<Relationships xmlns="http://schemas.openxmlformats.org/package/2006/relationships"><Relationship Id="rId1" Type="http://schemas.openxmlformats.org/officeDocument/2006/relationships/chart" Target="../charts/char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2.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21.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4" Type="http://schemas.openxmlformats.org/officeDocument/2006/relationships/image" Target="../media/image2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1</xdr:col>
      <xdr:colOff>163915</xdr:colOff>
      <xdr:row>1</xdr:row>
      <xdr:rowOff>161346</xdr:rowOff>
    </xdr:from>
    <xdr:to>
      <xdr:col>3</xdr:col>
      <xdr:colOff>11309</xdr:colOff>
      <xdr:row>3</xdr:row>
      <xdr:rowOff>515728</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4890" y="361371"/>
          <a:ext cx="1788711" cy="712522"/>
        </a:xfrm>
        <a:prstGeom prst="rect">
          <a:avLst/>
        </a:prstGeom>
      </xdr:spPr>
    </xdr:pic>
    <xdr:clientData/>
  </xdr:twoCellAnchor>
  <xdr:twoCellAnchor editAs="oneCell">
    <xdr:from>
      <xdr:col>1</xdr:col>
      <xdr:colOff>24849</xdr:colOff>
      <xdr:row>37</xdr:row>
      <xdr:rowOff>24847</xdr:rowOff>
    </xdr:from>
    <xdr:to>
      <xdr:col>11</xdr:col>
      <xdr:colOff>220086</xdr:colOff>
      <xdr:row>37</xdr:row>
      <xdr:rowOff>675487</xdr:rowOff>
    </xdr:to>
    <xdr:pic>
      <xdr:nvPicPr>
        <xdr:cNvPr id="9" name="Grafik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a:stretch>
          <a:fillRect/>
        </a:stretch>
      </xdr:blipFill>
      <xdr:spPr>
        <a:xfrm>
          <a:off x="207066" y="17633673"/>
          <a:ext cx="7831803" cy="650640"/>
        </a:xfrm>
        <a:prstGeom prst="rect">
          <a:avLst/>
        </a:prstGeom>
      </xdr:spPr>
    </xdr:pic>
    <xdr:clientData/>
  </xdr:twoCellAnchor>
  <xdr:twoCellAnchor editAs="oneCell">
    <xdr:from>
      <xdr:col>0</xdr:col>
      <xdr:colOff>168477</xdr:colOff>
      <xdr:row>58</xdr:row>
      <xdr:rowOff>90626</xdr:rowOff>
    </xdr:from>
    <xdr:to>
      <xdr:col>12</xdr:col>
      <xdr:colOff>763341</xdr:colOff>
      <xdr:row>58</xdr:row>
      <xdr:rowOff>2734236</xdr:rowOff>
    </xdr:to>
    <xdr:pic>
      <xdr:nvPicPr>
        <xdr:cNvPr id="17" name="Grafik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3"/>
        <a:srcRect b="51731"/>
        <a:stretch/>
      </xdr:blipFill>
      <xdr:spPr>
        <a:xfrm>
          <a:off x="168477" y="39109508"/>
          <a:ext cx="9548364" cy="2643610"/>
        </a:xfrm>
        <a:prstGeom prst="rect">
          <a:avLst/>
        </a:prstGeom>
      </xdr:spPr>
    </xdr:pic>
    <xdr:clientData/>
  </xdr:twoCellAnchor>
  <xdr:twoCellAnchor editAs="oneCell">
    <xdr:from>
      <xdr:col>1</xdr:col>
      <xdr:colOff>163915</xdr:colOff>
      <xdr:row>1</xdr:row>
      <xdr:rowOff>161346</xdr:rowOff>
    </xdr:from>
    <xdr:to>
      <xdr:col>3</xdr:col>
      <xdr:colOff>11421</xdr:colOff>
      <xdr:row>3</xdr:row>
      <xdr:rowOff>511918</xdr:rowOff>
    </xdr:to>
    <xdr:pic>
      <xdr:nvPicPr>
        <xdr:cNvPr id="16" name="Grafik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4890" y="361371"/>
          <a:ext cx="1788823" cy="716332"/>
        </a:xfrm>
        <a:prstGeom prst="rect">
          <a:avLst/>
        </a:prstGeom>
      </xdr:spPr>
    </xdr:pic>
    <xdr:clientData/>
  </xdr:twoCellAnchor>
  <xdr:twoCellAnchor editAs="oneCell">
    <xdr:from>
      <xdr:col>1</xdr:col>
      <xdr:colOff>26215</xdr:colOff>
      <xdr:row>47</xdr:row>
      <xdr:rowOff>689006</xdr:rowOff>
    </xdr:from>
    <xdr:to>
      <xdr:col>8</xdr:col>
      <xdr:colOff>270156</xdr:colOff>
      <xdr:row>47</xdr:row>
      <xdr:rowOff>1589075</xdr:rowOff>
    </xdr:to>
    <xdr:pic>
      <xdr:nvPicPr>
        <xdr:cNvPr id="10" name="Grafik 9">
          <a:extLst>
            <a:ext uri="{FF2B5EF4-FFF2-40B4-BE49-F238E27FC236}">
              <a16:creationId xmlns:a16="http://schemas.microsoft.com/office/drawing/2014/main" id="{AB0C064C-6E7A-4F7E-9FC7-88EA9C777858}"/>
            </a:ext>
          </a:extLst>
        </xdr:cNvPr>
        <xdr:cNvPicPr>
          <a:picLocks noChangeAspect="1"/>
        </xdr:cNvPicPr>
      </xdr:nvPicPr>
      <xdr:blipFill rotWithShape="1">
        <a:blip xmlns:r="http://schemas.openxmlformats.org/officeDocument/2006/relationships" r:embed="rId5"/>
        <a:srcRect b="54887"/>
        <a:stretch/>
      </xdr:blipFill>
      <xdr:spPr>
        <a:xfrm>
          <a:off x="205509" y="27616741"/>
          <a:ext cx="4995235" cy="900069"/>
        </a:xfrm>
        <a:prstGeom prst="rect">
          <a:avLst/>
        </a:prstGeom>
      </xdr:spPr>
    </xdr:pic>
    <xdr:clientData/>
  </xdr:twoCellAnchor>
  <xdr:twoCellAnchor editAs="oneCell">
    <xdr:from>
      <xdr:col>9</xdr:col>
      <xdr:colOff>664129</xdr:colOff>
      <xdr:row>47</xdr:row>
      <xdr:rowOff>594218</xdr:rowOff>
    </xdr:from>
    <xdr:to>
      <xdr:col>12</xdr:col>
      <xdr:colOff>964472</xdr:colOff>
      <xdr:row>47</xdr:row>
      <xdr:rowOff>3006335</xdr:rowOff>
    </xdr:to>
    <xdr:pic>
      <xdr:nvPicPr>
        <xdr:cNvPr id="12" name="Grafik 11">
          <a:extLst>
            <a:ext uri="{FF2B5EF4-FFF2-40B4-BE49-F238E27FC236}">
              <a16:creationId xmlns:a16="http://schemas.microsoft.com/office/drawing/2014/main" id="{4A0D517B-F790-F3D0-4489-B3148C5C9802}"/>
            </a:ext>
          </a:extLst>
        </xdr:cNvPr>
        <xdr:cNvPicPr>
          <a:picLocks noChangeAspect="1"/>
        </xdr:cNvPicPr>
      </xdr:nvPicPr>
      <xdr:blipFill>
        <a:blip xmlns:r="http://schemas.openxmlformats.org/officeDocument/2006/relationships" r:embed="rId6"/>
        <a:stretch>
          <a:fillRect/>
        </a:stretch>
      </xdr:blipFill>
      <xdr:spPr>
        <a:xfrm>
          <a:off x="7069473" y="27438989"/>
          <a:ext cx="3486673" cy="2412117"/>
        </a:xfrm>
        <a:prstGeom prst="rect">
          <a:avLst/>
        </a:prstGeom>
      </xdr:spPr>
    </xdr:pic>
    <xdr:clientData/>
  </xdr:twoCellAnchor>
  <xdr:twoCellAnchor editAs="oneCell">
    <xdr:from>
      <xdr:col>1</xdr:col>
      <xdr:colOff>25303</xdr:colOff>
      <xdr:row>41</xdr:row>
      <xdr:rowOff>36929</xdr:rowOff>
    </xdr:from>
    <xdr:to>
      <xdr:col>11</xdr:col>
      <xdr:colOff>254806</xdr:colOff>
      <xdr:row>41</xdr:row>
      <xdr:rowOff>1361089</xdr:rowOff>
    </xdr:to>
    <xdr:pic>
      <xdr:nvPicPr>
        <xdr:cNvPr id="3" name="Grafik 2">
          <a:extLst>
            <a:ext uri="{FF2B5EF4-FFF2-40B4-BE49-F238E27FC236}">
              <a16:creationId xmlns:a16="http://schemas.microsoft.com/office/drawing/2014/main" id="{CA67CA3E-C8D5-422F-A6D2-06E7EEB9A149}"/>
            </a:ext>
          </a:extLst>
        </xdr:cNvPr>
        <xdr:cNvPicPr>
          <a:picLocks noChangeAspect="1"/>
        </xdr:cNvPicPr>
      </xdr:nvPicPr>
      <xdr:blipFill>
        <a:blip xmlns:r="http://schemas.openxmlformats.org/officeDocument/2006/relationships" r:embed="rId7"/>
        <a:stretch>
          <a:fillRect/>
        </a:stretch>
      </xdr:blipFill>
      <xdr:spPr>
        <a:xfrm>
          <a:off x="207520" y="21323233"/>
          <a:ext cx="7866069" cy="1324160"/>
        </a:xfrm>
        <a:prstGeom prst="rect">
          <a:avLst/>
        </a:prstGeom>
      </xdr:spPr>
    </xdr:pic>
    <xdr:clientData/>
  </xdr:twoCellAnchor>
  <xdr:twoCellAnchor editAs="oneCell">
    <xdr:from>
      <xdr:col>1</xdr:col>
      <xdr:colOff>1</xdr:colOff>
      <xdr:row>44</xdr:row>
      <xdr:rowOff>672867</xdr:rowOff>
    </xdr:from>
    <xdr:to>
      <xdr:col>11</xdr:col>
      <xdr:colOff>264690</xdr:colOff>
      <xdr:row>44</xdr:row>
      <xdr:rowOff>4233677</xdr:rowOff>
    </xdr:to>
    <xdr:pic>
      <xdr:nvPicPr>
        <xdr:cNvPr id="5" name="Grafik 4">
          <a:extLst>
            <a:ext uri="{FF2B5EF4-FFF2-40B4-BE49-F238E27FC236}">
              <a16:creationId xmlns:a16="http://schemas.microsoft.com/office/drawing/2014/main" id="{8257F51C-6F57-857A-08A2-A1D30261DAB0}"/>
            </a:ext>
          </a:extLst>
        </xdr:cNvPr>
        <xdr:cNvPicPr>
          <a:picLocks noChangeAspect="1"/>
        </xdr:cNvPicPr>
      </xdr:nvPicPr>
      <xdr:blipFill>
        <a:blip xmlns:r="http://schemas.openxmlformats.org/officeDocument/2006/relationships" r:embed="rId8"/>
        <a:stretch>
          <a:fillRect/>
        </a:stretch>
      </xdr:blipFill>
      <xdr:spPr>
        <a:xfrm>
          <a:off x="192249" y="23410528"/>
          <a:ext cx="8380251" cy="3560810"/>
        </a:xfrm>
        <a:prstGeom prst="rect">
          <a:avLst/>
        </a:prstGeom>
      </xdr:spPr>
    </xdr:pic>
    <xdr:clientData/>
  </xdr:twoCellAnchor>
  <xdr:twoCellAnchor editAs="oneCell">
    <xdr:from>
      <xdr:col>1</xdr:col>
      <xdr:colOff>9195</xdr:colOff>
      <xdr:row>50</xdr:row>
      <xdr:rowOff>892306</xdr:rowOff>
    </xdr:from>
    <xdr:to>
      <xdr:col>12</xdr:col>
      <xdr:colOff>698317</xdr:colOff>
      <xdr:row>50</xdr:row>
      <xdr:rowOff>2464150</xdr:rowOff>
    </xdr:to>
    <xdr:pic>
      <xdr:nvPicPr>
        <xdr:cNvPr id="6" name="Grafik 5">
          <a:extLst>
            <a:ext uri="{FF2B5EF4-FFF2-40B4-BE49-F238E27FC236}">
              <a16:creationId xmlns:a16="http://schemas.microsoft.com/office/drawing/2014/main" id="{6DFFDBCF-9494-A6E3-E784-188F0FBD942C}"/>
            </a:ext>
          </a:extLst>
        </xdr:cNvPr>
        <xdr:cNvPicPr>
          <a:picLocks noChangeAspect="1"/>
        </xdr:cNvPicPr>
      </xdr:nvPicPr>
      <xdr:blipFill>
        <a:blip xmlns:r="http://schemas.openxmlformats.org/officeDocument/2006/relationships" r:embed="rId9"/>
        <a:stretch>
          <a:fillRect/>
        </a:stretch>
      </xdr:blipFill>
      <xdr:spPr>
        <a:xfrm>
          <a:off x="188489" y="31338688"/>
          <a:ext cx="9463328" cy="1571844"/>
        </a:xfrm>
        <a:prstGeom prst="rect">
          <a:avLst/>
        </a:prstGeom>
      </xdr:spPr>
    </xdr:pic>
    <xdr:clientData/>
  </xdr:twoCellAnchor>
  <xdr:twoCellAnchor editAs="oneCell">
    <xdr:from>
      <xdr:col>1</xdr:col>
      <xdr:colOff>14654</xdr:colOff>
      <xdr:row>26</xdr:row>
      <xdr:rowOff>14654</xdr:rowOff>
    </xdr:from>
    <xdr:to>
      <xdr:col>11</xdr:col>
      <xdr:colOff>419161</xdr:colOff>
      <xdr:row>26</xdr:row>
      <xdr:rowOff>2169115</xdr:rowOff>
    </xdr:to>
    <xdr:pic>
      <xdr:nvPicPr>
        <xdr:cNvPr id="2" name="Grafik 1">
          <a:extLst>
            <a:ext uri="{FF2B5EF4-FFF2-40B4-BE49-F238E27FC236}">
              <a16:creationId xmlns:a16="http://schemas.microsoft.com/office/drawing/2014/main" id="{13173441-C1E9-41BC-86B7-104E558C7ABD}"/>
            </a:ext>
          </a:extLst>
        </xdr:cNvPr>
        <xdr:cNvPicPr>
          <a:picLocks noChangeAspect="1"/>
        </xdr:cNvPicPr>
      </xdr:nvPicPr>
      <xdr:blipFill>
        <a:blip xmlns:r="http://schemas.openxmlformats.org/officeDocument/2006/relationships" r:embed="rId10"/>
        <a:stretch>
          <a:fillRect/>
        </a:stretch>
      </xdr:blipFill>
      <xdr:spPr>
        <a:xfrm>
          <a:off x="197827" y="13012616"/>
          <a:ext cx="8046488" cy="2154461"/>
        </a:xfrm>
        <a:prstGeom prst="rect">
          <a:avLst/>
        </a:prstGeom>
      </xdr:spPr>
    </xdr:pic>
    <xdr:clientData/>
  </xdr:twoCellAnchor>
  <xdr:twoCellAnchor editAs="oneCell">
    <xdr:from>
      <xdr:col>1</xdr:col>
      <xdr:colOff>0</xdr:colOff>
      <xdr:row>54</xdr:row>
      <xdr:rowOff>11209</xdr:rowOff>
    </xdr:from>
    <xdr:to>
      <xdr:col>12</xdr:col>
      <xdr:colOff>705971</xdr:colOff>
      <xdr:row>55</xdr:row>
      <xdr:rowOff>64609</xdr:rowOff>
    </xdr:to>
    <xdr:pic>
      <xdr:nvPicPr>
        <xdr:cNvPr id="7" name="Grafik 6">
          <a:extLst>
            <a:ext uri="{FF2B5EF4-FFF2-40B4-BE49-F238E27FC236}">
              <a16:creationId xmlns:a16="http://schemas.microsoft.com/office/drawing/2014/main" id="{BB26CB62-E105-7F33-2571-8DC9C33A1DC4}"/>
            </a:ext>
          </a:extLst>
        </xdr:cNvPr>
        <xdr:cNvPicPr>
          <a:picLocks noChangeAspect="1"/>
        </xdr:cNvPicPr>
      </xdr:nvPicPr>
      <xdr:blipFill>
        <a:blip xmlns:r="http://schemas.openxmlformats.org/officeDocument/2006/relationships" r:embed="rId11"/>
        <a:stretch>
          <a:fillRect/>
        </a:stretch>
      </xdr:blipFill>
      <xdr:spPr>
        <a:xfrm>
          <a:off x="179294" y="34121915"/>
          <a:ext cx="9480177" cy="3168636"/>
        </a:xfrm>
        <a:prstGeom prst="rect">
          <a:avLst/>
        </a:prstGeom>
      </xdr:spPr>
    </xdr:pic>
    <xdr:clientData/>
  </xdr:twoCellAnchor>
  <xdr:twoCellAnchor editAs="oneCell">
    <xdr:from>
      <xdr:col>11</xdr:col>
      <xdr:colOff>795618</xdr:colOff>
      <xdr:row>0</xdr:row>
      <xdr:rowOff>0</xdr:rowOff>
    </xdr:from>
    <xdr:to>
      <xdr:col>13</xdr:col>
      <xdr:colOff>11206</xdr:colOff>
      <xdr:row>5</xdr:row>
      <xdr:rowOff>35306</xdr:rowOff>
    </xdr:to>
    <xdr:pic>
      <xdr:nvPicPr>
        <xdr:cNvPr id="11" name="Grafik 10">
          <a:extLst>
            <a:ext uri="{FF2B5EF4-FFF2-40B4-BE49-F238E27FC236}">
              <a16:creationId xmlns:a16="http://schemas.microsoft.com/office/drawing/2014/main" id="{99798998-9C7A-1FA9-765B-027C779FA31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606118" y="0"/>
          <a:ext cx="1501588" cy="14472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133350</xdr:colOff>
      <xdr:row>1</xdr:row>
      <xdr:rowOff>131446</xdr:rowOff>
    </xdr:from>
    <xdr:to>
      <xdr:col>2</xdr:col>
      <xdr:colOff>1177290</xdr:colOff>
      <xdr:row>3</xdr:row>
      <xdr:rowOff>321140</xdr:rowOff>
    </xdr:to>
    <xdr:pic>
      <xdr:nvPicPr>
        <xdr:cNvPr id="2" name="Grafik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 y="325756"/>
          <a:ext cx="1619250" cy="5706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133350</xdr:colOff>
      <xdr:row>1</xdr:row>
      <xdr:rowOff>131446</xdr:rowOff>
    </xdr:from>
    <xdr:to>
      <xdr:col>2</xdr:col>
      <xdr:colOff>1177290</xdr:colOff>
      <xdr:row>3</xdr:row>
      <xdr:rowOff>321140</xdr:rowOff>
    </xdr:to>
    <xdr:pic>
      <xdr:nvPicPr>
        <xdr:cNvPr id="2" name="Grafik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 y="325756"/>
          <a:ext cx="1619250" cy="57069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133350</xdr:colOff>
      <xdr:row>1</xdr:row>
      <xdr:rowOff>131446</xdr:rowOff>
    </xdr:from>
    <xdr:to>
      <xdr:col>2</xdr:col>
      <xdr:colOff>1177290</xdr:colOff>
      <xdr:row>3</xdr:row>
      <xdr:rowOff>321140</xdr:rowOff>
    </xdr:to>
    <xdr:pic>
      <xdr:nvPicPr>
        <xdr:cNvPr id="2" name="Grafik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 y="325756"/>
          <a:ext cx="1619250" cy="5706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133350</xdr:colOff>
      <xdr:row>1</xdr:row>
      <xdr:rowOff>131446</xdr:rowOff>
    </xdr:from>
    <xdr:to>
      <xdr:col>2</xdr:col>
      <xdr:colOff>1177290</xdr:colOff>
      <xdr:row>3</xdr:row>
      <xdr:rowOff>321140</xdr:rowOff>
    </xdr:to>
    <xdr:pic>
      <xdr:nvPicPr>
        <xdr:cNvPr id="2" name="Grafik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 y="325756"/>
          <a:ext cx="1619250" cy="57069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133350</xdr:colOff>
      <xdr:row>1</xdr:row>
      <xdr:rowOff>131446</xdr:rowOff>
    </xdr:from>
    <xdr:to>
      <xdr:col>2</xdr:col>
      <xdr:colOff>1177290</xdr:colOff>
      <xdr:row>3</xdr:row>
      <xdr:rowOff>321140</xdr:rowOff>
    </xdr:to>
    <xdr:pic>
      <xdr:nvPicPr>
        <xdr:cNvPr id="2" name="Grafik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 y="325756"/>
          <a:ext cx="1619250" cy="57069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133350</xdr:colOff>
      <xdr:row>1</xdr:row>
      <xdr:rowOff>131446</xdr:rowOff>
    </xdr:from>
    <xdr:to>
      <xdr:col>2</xdr:col>
      <xdr:colOff>1177290</xdr:colOff>
      <xdr:row>3</xdr:row>
      <xdr:rowOff>321140</xdr:rowOff>
    </xdr:to>
    <xdr:pic>
      <xdr:nvPicPr>
        <xdr:cNvPr id="2" name="Grafik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 y="325756"/>
          <a:ext cx="1619250" cy="57069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324971</xdr:colOff>
      <xdr:row>90</xdr:row>
      <xdr:rowOff>156883</xdr:rowOff>
    </xdr:from>
    <xdr:to>
      <xdr:col>20</xdr:col>
      <xdr:colOff>858205</xdr:colOff>
      <xdr:row>109</xdr:row>
      <xdr:rowOff>55139</xdr:rowOff>
    </xdr:to>
    <xdr:pic>
      <xdr:nvPicPr>
        <xdr:cNvPr id="5" name="Grafik 4">
          <a:extLst>
            <a:ext uri="{FF2B5EF4-FFF2-40B4-BE49-F238E27FC236}">
              <a16:creationId xmlns:a16="http://schemas.microsoft.com/office/drawing/2014/main" id="{4B705343-4136-F134-506C-863CA5CC2E20}"/>
            </a:ext>
          </a:extLst>
        </xdr:cNvPr>
        <xdr:cNvPicPr>
          <a:picLocks noChangeAspect="1"/>
        </xdr:cNvPicPr>
      </xdr:nvPicPr>
      <xdr:blipFill>
        <a:blip xmlns:r="http://schemas.openxmlformats.org/officeDocument/2006/relationships" r:embed="rId1"/>
        <a:stretch>
          <a:fillRect/>
        </a:stretch>
      </xdr:blipFill>
      <xdr:spPr>
        <a:xfrm>
          <a:off x="8875059" y="19823207"/>
          <a:ext cx="7106642" cy="3515216"/>
        </a:xfrm>
        <a:prstGeom prst="rect">
          <a:avLst/>
        </a:prstGeom>
      </xdr:spPr>
    </xdr:pic>
    <xdr:clientData/>
  </xdr:twoCellAnchor>
  <xdr:twoCellAnchor editAs="oneCell">
    <xdr:from>
      <xdr:col>7</xdr:col>
      <xdr:colOff>494740</xdr:colOff>
      <xdr:row>78</xdr:row>
      <xdr:rowOff>128867</xdr:rowOff>
    </xdr:from>
    <xdr:to>
      <xdr:col>20</xdr:col>
      <xdr:colOff>856502</xdr:colOff>
      <xdr:row>89</xdr:row>
      <xdr:rowOff>94273</xdr:rowOff>
    </xdr:to>
    <xdr:pic>
      <xdr:nvPicPr>
        <xdr:cNvPr id="6" name="Grafik 5">
          <a:extLst>
            <a:ext uri="{FF2B5EF4-FFF2-40B4-BE49-F238E27FC236}">
              <a16:creationId xmlns:a16="http://schemas.microsoft.com/office/drawing/2014/main" id="{EE58C0D1-9E72-DFB8-FAB8-D29DFC29FACF}"/>
            </a:ext>
          </a:extLst>
        </xdr:cNvPr>
        <xdr:cNvPicPr>
          <a:picLocks noChangeAspect="1"/>
        </xdr:cNvPicPr>
      </xdr:nvPicPr>
      <xdr:blipFill>
        <a:blip xmlns:r="http://schemas.openxmlformats.org/officeDocument/2006/relationships" r:embed="rId2"/>
        <a:stretch>
          <a:fillRect/>
        </a:stretch>
      </xdr:blipFill>
      <xdr:spPr>
        <a:xfrm>
          <a:off x="9048190" y="17445317"/>
          <a:ext cx="6958142" cy="2100276"/>
        </a:xfrm>
        <a:prstGeom prst="rect">
          <a:avLst/>
        </a:prstGeom>
      </xdr:spPr>
    </xdr:pic>
    <xdr:clientData/>
  </xdr:twoCellAnchor>
  <xdr:twoCellAnchor editAs="oneCell">
    <xdr:from>
      <xdr:col>22</xdr:col>
      <xdr:colOff>161925</xdr:colOff>
      <xdr:row>66</xdr:row>
      <xdr:rowOff>685800</xdr:rowOff>
    </xdr:from>
    <xdr:to>
      <xdr:col>31</xdr:col>
      <xdr:colOff>246715</xdr:colOff>
      <xdr:row>73</xdr:row>
      <xdr:rowOff>114521</xdr:rowOff>
    </xdr:to>
    <xdr:pic>
      <xdr:nvPicPr>
        <xdr:cNvPr id="2" name="Grafik 1">
          <a:extLst>
            <a:ext uri="{FF2B5EF4-FFF2-40B4-BE49-F238E27FC236}">
              <a16:creationId xmlns:a16="http://schemas.microsoft.com/office/drawing/2014/main" id="{96D85854-5470-4A4C-BAE8-4DD959E90817}"/>
            </a:ext>
          </a:extLst>
        </xdr:cNvPr>
        <xdr:cNvPicPr>
          <a:picLocks noChangeAspect="1"/>
        </xdr:cNvPicPr>
      </xdr:nvPicPr>
      <xdr:blipFill>
        <a:blip xmlns:r="http://schemas.openxmlformats.org/officeDocument/2006/relationships" r:embed="rId3"/>
        <a:stretch>
          <a:fillRect/>
        </a:stretch>
      </xdr:blipFill>
      <xdr:spPr>
        <a:xfrm>
          <a:off x="18602325" y="14963775"/>
          <a:ext cx="6951045" cy="159089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85725</xdr:colOff>
      <xdr:row>1</xdr:row>
      <xdr:rowOff>91440</xdr:rowOff>
    </xdr:from>
    <xdr:to>
      <xdr:col>9</xdr:col>
      <xdr:colOff>95250</xdr:colOff>
      <xdr:row>3</xdr:row>
      <xdr:rowOff>359772</xdr:rowOff>
    </xdr:to>
    <xdr:pic>
      <xdr:nvPicPr>
        <xdr:cNvPr id="3" name="Grafik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81940"/>
          <a:ext cx="1905000" cy="64171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85725</xdr:colOff>
      <xdr:row>1</xdr:row>
      <xdr:rowOff>91440</xdr:rowOff>
    </xdr:from>
    <xdr:to>
      <xdr:col>9</xdr:col>
      <xdr:colOff>95250</xdr:colOff>
      <xdr:row>3</xdr:row>
      <xdr:rowOff>359772</xdr:rowOff>
    </xdr:to>
    <xdr:pic>
      <xdr:nvPicPr>
        <xdr:cNvPr id="2" name="Grafik 1">
          <a:extLst>
            <a:ext uri="{FF2B5EF4-FFF2-40B4-BE49-F238E27FC236}">
              <a16:creationId xmlns:a16="http://schemas.microsoft.com/office/drawing/2014/main" id="{48955303-ABA6-47C6-86C3-625587FE4B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291465"/>
          <a:ext cx="1838325" cy="64933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126842</xdr:colOff>
      <xdr:row>3</xdr:row>
      <xdr:rowOff>324122</xdr:rowOff>
    </xdr:from>
    <xdr:to>
      <xdr:col>22</xdr:col>
      <xdr:colOff>138546</xdr:colOff>
      <xdr:row>36</xdr:row>
      <xdr:rowOff>0</xdr:rowOff>
    </xdr:to>
    <xdr:graphicFrame macro="">
      <xdr:nvGraphicFramePr>
        <xdr:cNvPr id="8" name="Diagramm 7">
          <a:extLst>
            <a:ext uri="{FF2B5EF4-FFF2-40B4-BE49-F238E27FC236}">
              <a16:creationId xmlns:a16="http://schemas.microsoft.com/office/drawing/2014/main" id="{00000000-0008-0000-1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56029</xdr:colOff>
      <xdr:row>54</xdr:row>
      <xdr:rowOff>56031</xdr:rowOff>
    </xdr:from>
    <xdr:to>
      <xdr:col>13</xdr:col>
      <xdr:colOff>1085850</xdr:colOff>
      <xdr:row>54</xdr:row>
      <xdr:rowOff>1895475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38099</xdr:colOff>
      <xdr:row>54</xdr:row>
      <xdr:rowOff>59840</xdr:rowOff>
    </xdr:from>
    <xdr:to>
      <xdr:col>9</xdr:col>
      <xdr:colOff>1009649</xdr:colOff>
      <xdr:row>54</xdr:row>
      <xdr:rowOff>1888079</xdr:rowOff>
    </xdr:to>
    <xdr:graphicFrame macro="">
      <xdr:nvGraphicFramePr>
        <xdr:cNvPr id="4" name="Diagramm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151689</xdr:colOff>
      <xdr:row>1</xdr:row>
      <xdr:rowOff>127805</xdr:rowOff>
    </xdr:from>
    <xdr:to>
      <xdr:col>3</xdr:col>
      <xdr:colOff>4369</xdr:colOff>
      <xdr:row>3</xdr:row>
      <xdr:rowOff>485716</xdr:rowOff>
    </xdr:to>
    <xdr:pic>
      <xdr:nvPicPr>
        <xdr:cNvPr id="2" name="Grafik 1">
          <a:extLst>
            <a:ext uri="{FF2B5EF4-FFF2-40B4-BE49-F238E27FC236}">
              <a16:creationId xmlns:a16="http://schemas.microsoft.com/office/drawing/2014/main" id="{7B44AB9D-9855-4DFD-A6B4-C95652686B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2189" y="327830"/>
          <a:ext cx="1785695" cy="718180"/>
        </a:xfrm>
        <a:prstGeom prst="rect">
          <a:avLst/>
        </a:prstGeom>
      </xdr:spPr>
    </xdr:pic>
    <xdr:clientData/>
  </xdr:twoCellAnchor>
  <xdr:twoCellAnchor editAs="oneCell">
    <xdr:from>
      <xdr:col>12</xdr:col>
      <xdr:colOff>904875</xdr:colOff>
      <xdr:row>0</xdr:row>
      <xdr:rowOff>76200</xdr:rowOff>
    </xdr:from>
    <xdr:to>
      <xdr:col>13</xdr:col>
      <xdr:colOff>1285875</xdr:colOff>
      <xdr:row>5</xdr:row>
      <xdr:rowOff>178675</xdr:rowOff>
    </xdr:to>
    <xdr:pic>
      <xdr:nvPicPr>
        <xdr:cNvPr id="6" name="Grafik 5">
          <a:extLst>
            <a:ext uri="{FF2B5EF4-FFF2-40B4-BE49-F238E27FC236}">
              <a16:creationId xmlns:a16="http://schemas.microsoft.com/office/drawing/2014/main" id="{670F6AC2-B527-5420-3920-9330FB90D94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44025" y="76200"/>
          <a:ext cx="1524000" cy="1483600"/>
        </a:xfrm>
        <a:prstGeom prst="rect">
          <a:avLst/>
        </a:prstGeom>
      </xdr:spPr>
    </xdr:pic>
    <xdr:clientData/>
  </xdr:twoCellAnchor>
  <xdr:twoCellAnchor editAs="oneCell">
    <xdr:from>
      <xdr:col>12</xdr:col>
      <xdr:colOff>904875</xdr:colOff>
      <xdr:row>0</xdr:row>
      <xdr:rowOff>76200</xdr:rowOff>
    </xdr:from>
    <xdr:to>
      <xdr:col>13</xdr:col>
      <xdr:colOff>1263463</xdr:colOff>
      <xdr:row>5</xdr:row>
      <xdr:rowOff>140081</xdr:rowOff>
    </xdr:to>
    <xdr:pic>
      <xdr:nvPicPr>
        <xdr:cNvPr id="7" name="Grafik 6">
          <a:extLst>
            <a:ext uri="{FF2B5EF4-FFF2-40B4-BE49-F238E27FC236}">
              <a16:creationId xmlns:a16="http://schemas.microsoft.com/office/drawing/2014/main" id="{511346B4-3032-465E-BC13-F57BF81BBD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44025" y="76200"/>
          <a:ext cx="1501588" cy="144500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16</xdr:col>
      <xdr:colOff>126842</xdr:colOff>
      <xdr:row>3</xdr:row>
      <xdr:rowOff>324122</xdr:rowOff>
    </xdr:from>
    <xdr:to>
      <xdr:col>21</xdr:col>
      <xdr:colOff>432954</xdr:colOff>
      <xdr:row>35</xdr:row>
      <xdr:rowOff>17318</xdr:rowOff>
    </xdr:to>
    <xdr:graphicFrame macro="">
      <xdr:nvGraphicFramePr>
        <xdr:cNvPr id="2" name="Diagramm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31968</xdr:colOff>
      <xdr:row>8</xdr:row>
      <xdr:rowOff>168847</xdr:rowOff>
    </xdr:from>
    <xdr:to>
      <xdr:col>6</xdr:col>
      <xdr:colOff>264501</xdr:colOff>
      <xdr:row>29</xdr:row>
      <xdr:rowOff>131166</xdr:rowOff>
    </xdr:to>
    <xdr:pic>
      <xdr:nvPicPr>
        <xdr:cNvPr id="6" name="Grafik 5">
          <a:extLst>
            <a:ext uri="{FF2B5EF4-FFF2-40B4-BE49-F238E27FC236}">
              <a16:creationId xmlns:a16="http://schemas.microsoft.com/office/drawing/2014/main" id="{DD8181E1-5224-D7FF-ABD5-C5FA8E163631}"/>
            </a:ext>
          </a:extLst>
        </xdr:cNvPr>
        <xdr:cNvPicPr>
          <a:picLocks noChangeAspect="1"/>
        </xdr:cNvPicPr>
      </xdr:nvPicPr>
      <xdr:blipFill>
        <a:blip xmlns:r="http://schemas.openxmlformats.org/officeDocument/2006/relationships" r:embed="rId1"/>
        <a:stretch>
          <a:fillRect/>
        </a:stretch>
      </xdr:blipFill>
      <xdr:spPr>
        <a:xfrm rot="5400000">
          <a:off x="572986" y="2151954"/>
          <a:ext cx="3962819" cy="5044856"/>
        </a:xfrm>
        <a:prstGeom prst="rect">
          <a:avLst/>
        </a:prstGeom>
      </xdr:spPr>
    </xdr:pic>
    <xdr:clientData/>
  </xdr:twoCellAnchor>
  <xdr:twoCellAnchor editAs="oneCell">
    <xdr:from>
      <xdr:col>7</xdr:col>
      <xdr:colOff>25222</xdr:colOff>
      <xdr:row>8</xdr:row>
      <xdr:rowOff>173936</xdr:rowOff>
    </xdr:from>
    <xdr:to>
      <xdr:col>12</xdr:col>
      <xdr:colOff>445754</xdr:colOff>
      <xdr:row>28</xdr:row>
      <xdr:rowOff>53538</xdr:rowOff>
    </xdr:to>
    <xdr:pic>
      <xdr:nvPicPr>
        <xdr:cNvPr id="7" name="Grafik 6">
          <a:extLst>
            <a:ext uri="{FF2B5EF4-FFF2-40B4-BE49-F238E27FC236}">
              <a16:creationId xmlns:a16="http://schemas.microsoft.com/office/drawing/2014/main" id="{A813E323-60E9-B9FA-97E6-40CDAEAA814D}"/>
            </a:ext>
          </a:extLst>
        </xdr:cNvPr>
        <xdr:cNvPicPr>
          <a:picLocks noChangeAspect="1"/>
        </xdr:cNvPicPr>
      </xdr:nvPicPr>
      <xdr:blipFill>
        <a:blip xmlns:r="http://schemas.openxmlformats.org/officeDocument/2006/relationships" r:embed="rId2"/>
        <a:stretch>
          <a:fillRect/>
        </a:stretch>
      </xdr:blipFill>
      <xdr:spPr>
        <a:xfrm>
          <a:off x="6292672" y="2698061"/>
          <a:ext cx="4040032" cy="3689602"/>
        </a:xfrm>
        <a:prstGeom prst="rect">
          <a:avLst/>
        </a:prstGeom>
      </xdr:spPr>
    </xdr:pic>
    <xdr:clientData/>
  </xdr:twoCellAnchor>
  <xdr:twoCellAnchor editAs="oneCell">
    <xdr:from>
      <xdr:col>7</xdr:col>
      <xdr:colOff>36787</xdr:colOff>
      <xdr:row>29</xdr:row>
      <xdr:rowOff>32187</xdr:rowOff>
    </xdr:from>
    <xdr:to>
      <xdr:col>12</xdr:col>
      <xdr:colOff>390525</xdr:colOff>
      <xdr:row>43</xdr:row>
      <xdr:rowOff>58429</xdr:rowOff>
    </xdr:to>
    <xdr:pic>
      <xdr:nvPicPr>
        <xdr:cNvPr id="8" name="Grafik 7">
          <a:extLst>
            <a:ext uri="{FF2B5EF4-FFF2-40B4-BE49-F238E27FC236}">
              <a16:creationId xmlns:a16="http://schemas.microsoft.com/office/drawing/2014/main" id="{083E3A1A-CA03-F60A-5E91-E498759B6B3C}"/>
            </a:ext>
          </a:extLst>
        </xdr:cNvPr>
        <xdr:cNvPicPr>
          <a:picLocks noChangeAspect="1"/>
        </xdr:cNvPicPr>
      </xdr:nvPicPr>
      <xdr:blipFill>
        <a:blip xmlns:r="http://schemas.openxmlformats.org/officeDocument/2006/relationships" r:embed="rId3"/>
        <a:stretch>
          <a:fillRect/>
        </a:stretch>
      </xdr:blipFill>
      <xdr:spPr>
        <a:xfrm>
          <a:off x="6304237" y="6556812"/>
          <a:ext cx="3973238" cy="2693242"/>
        </a:xfrm>
        <a:prstGeom prst="rect">
          <a:avLst/>
        </a:prstGeom>
      </xdr:spPr>
    </xdr:pic>
    <xdr:clientData/>
  </xdr:twoCellAnchor>
  <xdr:twoCellAnchor editAs="oneCell">
    <xdr:from>
      <xdr:col>0</xdr:col>
      <xdr:colOff>9524</xdr:colOff>
      <xdr:row>67</xdr:row>
      <xdr:rowOff>76200</xdr:rowOff>
    </xdr:from>
    <xdr:to>
      <xdr:col>9</xdr:col>
      <xdr:colOff>713273</xdr:colOff>
      <xdr:row>100</xdr:row>
      <xdr:rowOff>20371</xdr:rowOff>
    </xdr:to>
    <xdr:pic>
      <xdr:nvPicPr>
        <xdr:cNvPr id="9" name="Grafik 8">
          <a:extLst>
            <a:ext uri="{FF2B5EF4-FFF2-40B4-BE49-F238E27FC236}">
              <a16:creationId xmlns:a16="http://schemas.microsoft.com/office/drawing/2014/main" id="{BBB8DAC9-13A5-58F7-F168-E9BF54E37229}"/>
            </a:ext>
          </a:extLst>
        </xdr:cNvPr>
        <xdr:cNvPicPr>
          <a:picLocks noChangeAspect="1"/>
        </xdr:cNvPicPr>
      </xdr:nvPicPr>
      <xdr:blipFill rotWithShape="1">
        <a:blip xmlns:r="http://schemas.openxmlformats.org/officeDocument/2006/relationships" r:embed="rId4"/>
        <a:srcRect l="2300" t="34200"/>
        <a:stretch/>
      </xdr:blipFill>
      <xdr:spPr>
        <a:xfrm>
          <a:off x="9524" y="13801725"/>
          <a:ext cx="7687773" cy="6230671"/>
        </a:xfrm>
        <a:prstGeom prst="rect">
          <a:avLst/>
        </a:prstGeom>
      </xdr:spPr>
    </xdr:pic>
    <xdr:clientData/>
  </xdr:twoCellAnchor>
  <xdr:twoCellAnchor editAs="oneCell">
    <xdr:from>
      <xdr:col>10</xdr:col>
      <xdr:colOff>28574</xdr:colOff>
      <xdr:row>76</xdr:row>
      <xdr:rowOff>19079</xdr:rowOff>
    </xdr:from>
    <xdr:to>
      <xdr:col>12</xdr:col>
      <xdr:colOff>390525</xdr:colOff>
      <xdr:row>95</xdr:row>
      <xdr:rowOff>76201</xdr:rowOff>
    </xdr:to>
    <xdr:pic>
      <xdr:nvPicPr>
        <xdr:cNvPr id="10" name="Grafik 9">
          <a:extLst>
            <a:ext uri="{FF2B5EF4-FFF2-40B4-BE49-F238E27FC236}">
              <a16:creationId xmlns:a16="http://schemas.microsoft.com/office/drawing/2014/main" id="{141ABE49-5538-4966-A9C0-9D282A93013E}"/>
            </a:ext>
          </a:extLst>
        </xdr:cNvPr>
        <xdr:cNvPicPr>
          <a:picLocks noChangeAspect="1"/>
        </xdr:cNvPicPr>
      </xdr:nvPicPr>
      <xdr:blipFill rotWithShape="1">
        <a:blip xmlns:r="http://schemas.openxmlformats.org/officeDocument/2006/relationships" r:embed="rId4"/>
        <a:srcRect l="81708" t="3320" b="65800"/>
        <a:stretch/>
      </xdr:blipFill>
      <xdr:spPr>
        <a:xfrm>
          <a:off x="7743824" y="15459104"/>
          <a:ext cx="1809751" cy="36766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91439</xdr:colOff>
      <xdr:row>1</xdr:row>
      <xdr:rowOff>87630</xdr:rowOff>
    </xdr:from>
    <xdr:to>
      <xdr:col>2</xdr:col>
      <xdr:colOff>2112644</xdr:colOff>
      <xdr:row>3</xdr:row>
      <xdr:rowOff>514478</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9564" y="278130"/>
          <a:ext cx="2223135" cy="7479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133350</xdr:colOff>
      <xdr:row>1</xdr:row>
      <xdr:rowOff>131446</xdr:rowOff>
    </xdr:from>
    <xdr:to>
      <xdr:col>2</xdr:col>
      <xdr:colOff>1177290</xdr:colOff>
      <xdr:row>3</xdr:row>
      <xdr:rowOff>324950</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321946"/>
          <a:ext cx="1615440" cy="5649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133350</xdr:colOff>
      <xdr:row>1</xdr:row>
      <xdr:rowOff>131446</xdr:rowOff>
    </xdr:from>
    <xdr:to>
      <xdr:col>2</xdr:col>
      <xdr:colOff>1177290</xdr:colOff>
      <xdr:row>3</xdr:row>
      <xdr:rowOff>324950</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 y="325756"/>
          <a:ext cx="1619250" cy="57069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133350</xdr:colOff>
      <xdr:row>1</xdr:row>
      <xdr:rowOff>131446</xdr:rowOff>
    </xdr:from>
    <xdr:to>
      <xdr:col>2</xdr:col>
      <xdr:colOff>1177290</xdr:colOff>
      <xdr:row>3</xdr:row>
      <xdr:rowOff>321140</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 y="325756"/>
          <a:ext cx="1619250" cy="57069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133350</xdr:colOff>
      <xdr:row>1</xdr:row>
      <xdr:rowOff>131446</xdr:rowOff>
    </xdr:from>
    <xdr:to>
      <xdr:col>2</xdr:col>
      <xdr:colOff>1177290</xdr:colOff>
      <xdr:row>3</xdr:row>
      <xdr:rowOff>321140</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 y="325756"/>
          <a:ext cx="1619250" cy="57069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133350</xdr:colOff>
      <xdr:row>1</xdr:row>
      <xdr:rowOff>131446</xdr:rowOff>
    </xdr:from>
    <xdr:to>
      <xdr:col>2</xdr:col>
      <xdr:colOff>1177290</xdr:colOff>
      <xdr:row>3</xdr:row>
      <xdr:rowOff>321140</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 y="325756"/>
          <a:ext cx="1619250" cy="5706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xdr:row>
      <xdr:rowOff>131446</xdr:rowOff>
    </xdr:from>
    <xdr:to>
      <xdr:col>2</xdr:col>
      <xdr:colOff>1177290</xdr:colOff>
      <xdr:row>3</xdr:row>
      <xdr:rowOff>324950</xdr:rowOff>
    </xdr:to>
    <xdr:pic>
      <xdr:nvPicPr>
        <xdr:cNvPr id="2" name="Grafik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 y="325756"/>
          <a:ext cx="1619250" cy="57069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obias Schläpfer | Plan-E AG" id="{B362CE9D-3268-4084-B378-ABEFFFF469CE}" userId="S::tobias.schlaepfer@plan-e.ch::c7cc2148-15f1-4b72-b601-ad0a420fb374" providerId="AD"/>
  <person displayName="Samuel Summermatter | BE Netz AG" id="{3CE41C32-D02D-46F1-BD41-4B3FC000D5EC}" userId="S::Samuel.Summermatter@benetz.ch::26515c2d-9106-4edb-9475-31b89f3ea0d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3" dT="2022-10-05T06:51:02.27" personId="{3CE41C32-D02D-46F1-BD41-4B3FC000D5EC}" id="{40C4B7E1-7628-4D05-9377-037874AA7275}">
    <text>Bezeichnung als Hilfestellung</text>
  </threadedComment>
</ThreadedComments>
</file>

<file path=xl/threadedComments/threadedComment10.xml><?xml version="1.0" encoding="utf-8"?>
<ThreadedComments xmlns="http://schemas.microsoft.com/office/spreadsheetml/2018/threadedcomments" xmlns:x="http://schemas.openxmlformats.org/spreadsheetml/2006/main">
  <threadedComment ref="B43" dT="2022-10-05T06:51:02.27" personId="{3CE41C32-D02D-46F1-BD41-4B3FC000D5EC}" id="{26AF8027-A15F-4AE1-BF07-30A3DAA4AFB6}">
    <text>Bezeichnung als Hilfestellung</text>
  </threadedComment>
</ThreadedComments>
</file>

<file path=xl/threadedComments/threadedComment11.xml><?xml version="1.0" encoding="utf-8"?>
<ThreadedComments xmlns="http://schemas.microsoft.com/office/spreadsheetml/2018/threadedcomments" xmlns:x="http://schemas.openxmlformats.org/spreadsheetml/2006/main">
  <threadedComment ref="B43" dT="2022-10-05T06:51:02.27" personId="{3CE41C32-D02D-46F1-BD41-4B3FC000D5EC}" id="{0783CAEF-3287-41C1-9DB3-82F87F84C07D}">
    <text>Bezeichnung als Hilfestellung</text>
  </threadedComment>
</ThreadedComments>
</file>

<file path=xl/threadedComments/threadedComment12.xml><?xml version="1.0" encoding="utf-8"?>
<ThreadedComments xmlns="http://schemas.microsoft.com/office/spreadsheetml/2018/threadedcomments" xmlns:x="http://schemas.openxmlformats.org/spreadsheetml/2006/main">
  <threadedComment ref="B43" dT="2022-10-05T06:51:02.27" personId="{3CE41C32-D02D-46F1-BD41-4B3FC000D5EC}" id="{F4CC7417-97F6-4079-BFAB-27E4056081C4}">
    <text>Bezeichnung als Hilfestellung</text>
  </threadedComment>
</ThreadedComments>
</file>

<file path=xl/threadedComments/threadedComment13.xml><?xml version="1.0" encoding="utf-8"?>
<ThreadedComments xmlns="http://schemas.microsoft.com/office/spreadsheetml/2018/threadedcomments" xmlns:x="http://schemas.openxmlformats.org/spreadsheetml/2006/main">
  <threadedComment ref="O47" dT="2025-10-01T13:25:40.59" personId="{B362CE9D-3268-4084-B378-ABEFFFF469CE}" id="{75A7E340-4F29-43ED-AE85-999A42B5E75B}">
    <text>Erst Q1 und Q2 enthalten</text>
  </threadedComment>
</ThreadedComments>
</file>

<file path=xl/threadedComments/threadedComment2.xml><?xml version="1.0" encoding="utf-8"?>
<ThreadedComments xmlns="http://schemas.microsoft.com/office/spreadsheetml/2018/threadedcomments" xmlns:x="http://schemas.openxmlformats.org/spreadsheetml/2006/main">
  <threadedComment ref="B43" dT="2022-10-05T06:51:02.27" personId="{3CE41C32-D02D-46F1-BD41-4B3FC000D5EC}" id="{DE4C4B82-8D6B-47FA-A01F-FECF0BCC9ABE}">
    <text>Bezeichnung als Hilfestellung</text>
  </threadedComment>
</ThreadedComments>
</file>

<file path=xl/threadedComments/threadedComment3.xml><?xml version="1.0" encoding="utf-8"?>
<ThreadedComments xmlns="http://schemas.microsoft.com/office/spreadsheetml/2018/threadedcomments" xmlns:x="http://schemas.openxmlformats.org/spreadsheetml/2006/main">
  <threadedComment ref="B43" dT="2022-10-05T06:51:02.27" personId="{3CE41C32-D02D-46F1-BD41-4B3FC000D5EC}" id="{919B780E-728F-444F-8B11-DD7753F34771}">
    <text>Bezeichnung als Hilfestellung</text>
  </threadedComment>
</ThreadedComments>
</file>

<file path=xl/threadedComments/threadedComment4.xml><?xml version="1.0" encoding="utf-8"?>
<ThreadedComments xmlns="http://schemas.microsoft.com/office/spreadsheetml/2018/threadedcomments" xmlns:x="http://schemas.openxmlformats.org/spreadsheetml/2006/main">
  <threadedComment ref="B43" dT="2022-10-05T06:51:02.27" personId="{3CE41C32-D02D-46F1-BD41-4B3FC000D5EC}" id="{DFC1C07A-09FD-47C8-9BC4-B41A1F9D87C0}">
    <text>Bezeichnung als Hilfestellung</text>
  </threadedComment>
</ThreadedComments>
</file>

<file path=xl/threadedComments/threadedComment5.xml><?xml version="1.0" encoding="utf-8"?>
<ThreadedComments xmlns="http://schemas.microsoft.com/office/spreadsheetml/2018/threadedcomments" xmlns:x="http://schemas.openxmlformats.org/spreadsheetml/2006/main">
  <threadedComment ref="B43" dT="2022-10-05T06:51:02.27" personId="{3CE41C32-D02D-46F1-BD41-4B3FC000D5EC}" id="{980C4E81-0632-414B-85EA-3469D4488327}">
    <text>Bezeichnung als Hilfestellung</text>
  </threadedComment>
</ThreadedComments>
</file>

<file path=xl/threadedComments/threadedComment6.xml><?xml version="1.0" encoding="utf-8"?>
<ThreadedComments xmlns="http://schemas.microsoft.com/office/spreadsheetml/2018/threadedcomments" xmlns:x="http://schemas.openxmlformats.org/spreadsheetml/2006/main">
  <threadedComment ref="B43" dT="2022-10-05T06:51:02.27" personId="{3CE41C32-D02D-46F1-BD41-4B3FC000D5EC}" id="{9C25E715-45AC-4C9F-9064-FAD5EE58AFEC}">
    <text>Bezeichnung als Hilfestellung</text>
  </threadedComment>
</ThreadedComments>
</file>

<file path=xl/threadedComments/threadedComment7.xml><?xml version="1.0" encoding="utf-8"?>
<ThreadedComments xmlns="http://schemas.microsoft.com/office/spreadsheetml/2018/threadedcomments" xmlns:x="http://schemas.openxmlformats.org/spreadsheetml/2006/main">
  <threadedComment ref="B43" dT="2022-10-05T06:51:02.27" personId="{3CE41C32-D02D-46F1-BD41-4B3FC000D5EC}" id="{57C42B31-88FA-420D-9CB0-94E5F91D08A5}">
    <text>Bezeichnung als Hilfestellung</text>
  </threadedComment>
</ThreadedComments>
</file>

<file path=xl/threadedComments/threadedComment8.xml><?xml version="1.0" encoding="utf-8"?>
<ThreadedComments xmlns="http://schemas.microsoft.com/office/spreadsheetml/2018/threadedcomments" xmlns:x="http://schemas.openxmlformats.org/spreadsheetml/2006/main">
  <threadedComment ref="B43" dT="2022-10-05T06:51:02.27" personId="{3CE41C32-D02D-46F1-BD41-4B3FC000D5EC}" id="{479B5043-4358-45ED-9478-D1ADFDB357BE}">
    <text>Bezeichnung als Hilfestellung</text>
  </threadedComment>
</ThreadedComments>
</file>

<file path=xl/threadedComments/threadedComment9.xml><?xml version="1.0" encoding="utf-8"?>
<ThreadedComments xmlns="http://schemas.microsoft.com/office/spreadsheetml/2018/threadedcomments" xmlns:x="http://schemas.openxmlformats.org/spreadsheetml/2006/main">
  <threadedComment ref="B43" dT="2022-10-05T06:51:02.27" personId="{3CE41C32-D02D-46F1-BD41-4B3FC000D5EC}" id="{DCB39679-0B5A-4238-8059-33401D3C4E85}">
    <text>Bezeichnung als Hilfestellung</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tadtluzern.ch/dienstleistungeninformation/31"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9.xml"/><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microsoft.com/office/2017/10/relationships/threadedComment" Target="../threadedComments/threadedComment10.xml"/><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11.xml"/><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microsoft.com/office/2017/10/relationships/threadedComment" Target="../threadedComments/threadedComment12.xml"/><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8" Type="http://schemas.openxmlformats.org/officeDocument/2006/relationships/vmlDrawing" Target="../drawings/vmlDrawing13.vml"/><Relationship Id="rId3" Type="http://schemas.openxmlformats.org/officeDocument/2006/relationships/hyperlink" Target="https://www.ewl-luzern.ch/privatkunden/energie/strom/selber-produzieren/stromruecklieferung/" TargetMode="External"/><Relationship Id="rId7" Type="http://schemas.openxmlformats.org/officeDocument/2006/relationships/drawing" Target="../drawings/drawing16.xml"/><Relationship Id="rId2" Type="http://schemas.openxmlformats.org/officeDocument/2006/relationships/hyperlink" Target="https://www.ckw.ch/energie/strom/ruecklieferverguetung" TargetMode="External"/><Relationship Id="rId1" Type="http://schemas.openxmlformats.org/officeDocument/2006/relationships/hyperlink" Target="https://www.bfe.admin.ch/bfe/de/home/foerderung/erneuerbare-energien/einspeiseverguetung.html/" TargetMode="External"/><Relationship Id="rId6" Type="http://schemas.openxmlformats.org/officeDocument/2006/relationships/printerSettings" Target="../printerSettings/printerSettings16.bin"/><Relationship Id="rId5" Type="http://schemas.openxmlformats.org/officeDocument/2006/relationships/hyperlink" Target="https://www.bwo.admin.ch/bwo/de/home/mietrecht/referenzzinssatz.html" TargetMode="External"/><Relationship Id="rId10" Type="http://schemas.microsoft.com/office/2017/10/relationships/threadedComment" Target="../threadedComments/threadedComment13.xml"/><Relationship Id="rId4" Type="http://schemas.openxmlformats.org/officeDocument/2006/relationships/hyperlink" Target="https://www.ckw.ch/energie/strom/stromprodukte/privat" TargetMode="External"/><Relationship Id="rId9"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www.fedlex.admin.ch/eli/cc/2017/766/de" TargetMode="External"/><Relationship Id="rId2" Type="http://schemas.openxmlformats.org/officeDocument/2006/relationships/hyperlink" Target="https://pubdb.bfe.admin.ch/de/publication/download/10552" TargetMode="External"/><Relationship Id="rId1" Type="http://schemas.openxmlformats.org/officeDocument/2006/relationships/hyperlink" Target="https://www.bfe.admin.ch/bfe/de/home/foerderung/erneuerbare-energien/einmalverguetung.html" TargetMode="External"/><Relationship Id="rId5" Type="http://schemas.openxmlformats.org/officeDocument/2006/relationships/drawing" Target="../drawings/drawing21.xml"/><Relationship Id="rId4"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N89"/>
  <sheetViews>
    <sheetView view="pageBreakPreview" zoomScaleNormal="85" zoomScaleSheetLayoutView="100" workbookViewId="0">
      <selection activeCell="B15" sqref="B15:M15"/>
    </sheetView>
  </sheetViews>
  <sheetFormatPr baseColWidth="10" defaultColWidth="0" defaultRowHeight="15" zeroHeight="1"/>
  <cols>
    <col min="1" max="1" width="2.7109375" customWidth="1"/>
    <col min="2" max="2" width="4.7109375" customWidth="1"/>
    <col min="3" max="3" width="24.28515625" customWidth="1"/>
    <col min="4" max="6" width="7.85546875" customWidth="1"/>
    <col min="7" max="8" width="9.28515625" customWidth="1"/>
    <col min="9" max="10" width="15.85546875" customWidth="1"/>
    <col min="11" max="11" width="11.5703125" customWidth="1"/>
    <col min="12" max="13" width="17.140625" customWidth="1"/>
    <col min="14" max="14" width="2.5703125" customWidth="1"/>
    <col min="15" max="15" width="5.85546875" hidden="1" customWidth="1"/>
    <col min="16" max="16" width="25.42578125" hidden="1" customWidth="1"/>
    <col min="17" max="18" width="6.28515625" hidden="1" customWidth="1"/>
    <col min="19" max="19" width="6.85546875" hidden="1" customWidth="1"/>
    <col min="20" max="24" width="16" hidden="1" customWidth="1"/>
    <col min="25" max="16384" width="11.42578125" hidden="1"/>
  </cols>
  <sheetData>
    <row r="1" spans="1:24" ht="15.75" thickBot="1">
      <c r="A1" s="491" t="str">
        <f ca="1">MID(CELL("dateiname",A1),SEARCH("]",CELL("dateiname",A1))+1,31)</f>
        <v>Kurzanleitung</v>
      </c>
      <c r="B1" s="492"/>
      <c r="C1" s="492"/>
      <c r="D1" s="492"/>
      <c r="E1" s="492"/>
      <c r="F1" s="492"/>
      <c r="G1" s="492"/>
      <c r="H1" s="492"/>
      <c r="I1" s="492"/>
      <c r="J1" s="492"/>
      <c r="K1" s="492"/>
      <c r="L1" s="492"/>
      <c r="M1" s="492"/>
      <c r="N1" s="492"/>
    </row>
    <row r="2" spans="1:24" ht="14.45" customHeight="1">
      <c r="A2" s="492"/>
      <c r="B2" s="493"/>
      <c r="C2" s="494"/>
      <c r="D2" s="494"/>
      <c r="E2" s="529" t="str">
        <f>_Dok_Titel</f>
        <v>Planungshilfe
Solar- und Photovoltaikanlagen auf Schrägdächern (Art. 77 Abs. 3 und 4 BZR)
Formular-Release 2.5</v>
      </c>
      <c r="F2" s="529"/>
      <c r="G2" s="529"/>
      <c r="H2" s="529"/>
      <c r="I2" s="529"/>
      <c r="J2" s="529"/>
      <c r="K2" s="529"/>
      <c r="L2" s="529"/>
      <c r="M2" s="495"/>
      <c r="N2" s="492"/>
    </row>
    <row r="3" spans="1:24" ht="14.45" customHeight="1">
      <c r="A3" s="492"/>
      <c r="B3" s="496"/>
      <c r="C3" s="497"/>
      <c r="D3" s="497"/>
      <c r="E3" s="530"/>
      <c r="F3" s="530"/>
      <c r="G3" s="530"/>
      <c r="H3" s="530"/>
      <c r="I3" s="530"/>
      <c r="J3" s="530"/>
      <c r="K3" s="530"/>
      <c r="L3" s="530"/>
      <c r="M3" s="498"/>
      <c r="N3" s="492"/>
    </row>
    <row r="4" spans="1:24" ht="51.75" customHeight="1" thickBot="1">
      <c r="A4" s="492"/>
      <c r="B4" s="499"/>
      <c r="C4" s="500"/>
      <c r="D4" s="500"/>
      <c r="E4" s="531"/>
      <c r="F4" s="531"/>
      <c r="G4" s="531"/>
      <c r="H4" s="531"/>
      <c r="I4" s="531"/>
      <c r="J4" s="531"/>
      <c r="K4" s="531"/>
      <c r="L4" s="531"/>
      <c r="M4" s="501"/>
      <c r="N4" s="492"/>
    </row>
    <row r="5" spans="1:24">
      <c r="A5" s="492"/>
      <c r="B5" s="492"/>
      <c r="C5" s="492"/>
      <c r="D5" s="492"/>
      <c r="E5" s="492"/>
      <c r="F5" s="492"/>
      <c r="G5" s="492"/>
      <c r="H5" s="492"/>
      <c r="I5" s="492"/>
      <c r="J5" s="492"/>
      <c r="K5" s="492"/>
      <c r="L5" s="492"/>
      <c r="M5" s="492"/>
      <c r="N5" s="492"/>
    </row>
    <row r="6" spans="1:24" ht="21">
      <c r="A6" s="492"/>
      <c r="B6" s="502" t="str">
        <f>"Luzern, "&amp;DAY(_Letzte_REV)&amp;"."&amp;MONTH(_Letzte_REV)&amp;"."&amp;YEAR(_Letzte_REV)</f>
        <v>Luzern, 20.1.2026</v>
      </c>
      <c r="C6" s="503"/>
      <c r="D6" s="503"/>
      <c r="E6" s="503"/>
      <c r="F6" s="503"/>
      <c r="G6" s="503"/>
      <c r="H6" s="503"/>
      <c r="I6" s="503"/>
      <c r="J6" s="503"/>
      <c r="K6" s="503"/>
      <c r="L6" s="503"/>
      <c r="M6" s="504" t="str">
        <f>"Nächste Revision: "&amp;DAY(_Nächste_REV)&amp;"."&amp;MONTH(_Nächste_REV)&amp;"."&amp;YEAR(_Nächste_REV)</f>
        <v>Nächste Revision: 1.12.2026</v>
      </c>
      <c r="N6" s="492"/>
    </row>
    <row r="7" spans="1:24" ht="15.75" customHeight="1">
      <c r="A7" s="492"/>
      <c r="B7" s="505"/>
      <c r="C7" s="492"/>
      <c r="D7" s="492"/>
      <c r="E7" s="492"/>
      <c r="F7" s="492"/>
      <c r="G7" s="492"/>
      <c r="H7" s="492"/>
      <c r="I7" s="492"/>
      <c r="J7" s="492"/>
      <c r="K7" s="492"/>
      <c r="L7" s="492"/>
      <c r="M7" s="492"/>
      <c r="N7" s="492"/>
    </row>
    <row r="8" spans="1:24" s="28" customFormat="1" ht="19.149999999999999" customHeight="1">
      <c r="A8" s="506"/>
      <c r="B8" s="507" t="s">
        <v>223</v>
      </c>
      <c r="C8" s="506"/>
      <c r="D8" s="492"/>
      <c r="E8" s="492"/>
      <c r="F8" s="492"/>
      <c r="G8" s="492"/>
      <c r="H8" s="492"/>
      <c r="I8" s="492"/>
      <c r="J8" s="492"/>
      <c r="K8" s="492"/>
      <c r="L8" s="492"/>
      <c r="M8" s="492"/>
      <c r="N8" s="506"/>
      <c r="P8"/>
      <c r="Q8"/>
      <c r="R8"/>
      <c r="S8"/>
      <c r="T8"/>
      <c r="U8"/>
      <c r="V8"/>
      <c r="W8"/>
      <c r="X8"/>
    </row>
    <row r="9" spans="1:24" s="28" customFormat="1" ht="54.75" customHeight="1">
      <c r="A9" s="506"/>
      <c r="B9" s="527" t="s">
        <v>224</v>
      </c>
      <c r="C9" s="527"/>
      <c r="D9" s="527"/>
      <c r="E9" s="527"/>
      <c r="F9" s="527"/>
      <c r="G9" s="527"/>
      <c r="H9" s="527"/>
      <c r="I9" s="527"/>
      <c r="J9" s="527"/>
      <c r="K9" s="527"/>
      <c r="L9" s="527"/>
      <c r="M9" s="527"/>
      <c r="N9" s="506"/>
    </row>
    <row r="10" spans="1:24" s="28" customFormat="1" ht="19.149999999999999" customHeight="1">
      <c r="A10" s="506"/>
      <c r="B10" s="532" t="s">
        <v>299</v>
      </c>
      <c r="C10" s="532"/>
      <c r="D10" s="532"/>
      <c r="E10" s="532"/>
      <c r="F10" s="532"/>
      <c r="G10" s="532"/>
      <c r="H10" s="506"/>
      <c r="I10" s="506"/>
      <c r="J10" s="506"/>
      <c r="K10" s="506"/>
      <c r="L10" s="506"/>
      <c r="M10" s="506"/>
      <c r="N10" s="506"/>
    </row>
    <row r="11" spans="1:24" s="28" customFormat="1" ht="11.25" customHeight="1">
      <c r="A11" s="506"/>
      <c r="B11" s="506"/>
      <c r="C11" s="506"/>
      <c r="D11" s="506"/>
      <c r="E11" s="506"/>
      <c r="F11" s="506"/>
      <c r="G11" s="506"/>
      <c r="H11" s="506"/>
      <c r="I11" s="506"/>
      <c r="J11" s="506"/>
      <c r="K11" s="506"/>
      <c r="L11" s="506"/>
      <c r="M11" s="506"/>
      <c r="N11" s="506"/>
    </row>
    <row r="12" spans="1:24" ht="21">
      <c r="A12" s="492"/>
      <c r="B12" s="509" t="s">
        <v>208</v>
      </c>
      <c r="C12" s="503"/>
      <c r="D12" s="503"/>
      <c r="E12" s="503"/>
      <c r="F12" s="503"/>
      <c r="G12" s="503"/>
      <c r="H12" s="503"/>
      <c r="I12" s="503"/>
      <c r="J12" s="503"/>
      <c r="K12" s="503"/>
      <c r="L12" s="503"/>
      <c r="M12" s="503"/>
      <c r="N12" s="492"/>
    </row>
    <row r="13" spans="1:24" s="28" customFormat="1" ht="11.25" customHeight="1">
      <c r="A13" s="506"/>
      <c r="B13" s="506"/>
      <c r="C13" s="506"/>
      <c r="D13" s="506"/>
      <c r="E13" s="506"/>
      <c r="F13" s="506"/>
      <c r="G13" s="506"/>
      <c r="H13" s="506"/>
      <c r="I13" s="506"/>
      <c r="J13" s="506"/>
      <c r="K13" s="506"/>
      <c r="L13" s="506"/>
      <c r="M13" s="506"/>
      <c r="N13" s="506"/>
    </row>
    <row r="14" spans="1:24" s="28" customFormat="1" ht="19.149999999999999" customHeight="1">
      <c r="A14" s="506"/>
      <c r="B14" s="507" t="s">
        <v>194</v>
      </c>
      <c r="C14" s="506"/>
      <c r="D14" s="492"/>
      <c r="E14" s="492"/>
      <c r="F14" s="492"/>
      <c r="G14" s="492"/>
      <c r="H14" s="492"/>
      <c r="I14" s="492"/>
      <c r="J14" s="492"/>
      <c r="K14" s="492"/>
      <c r="L14" s="492"/>
      <c r="M14" s="492"/>
      <c r="N14" s="506"/>
      <c r="P14"/>
      <c r="Q14"/>
      <c r="R14"/>
      <c r="S14"/>
      <c r="T14"/>
      <c r="U14"/>
      <c r="V14"/>
      <c r="W14"/>
      <c r="X14"/>
    </row>
    <row r="15" spans="1:24" s="28" customFormat="1" ht="166.5" customHeight="1">
      <c r="A15" s="506"/>
      <c r="B15" s="527" t="s">
        <v>370</v>
      </c>
      <c r="C15" s="527"/>
      <c r="D15" s="527"/>
      <c r="E15" s="527"/>
      <c r="F15" s="527"/>
      <c r="G15" s="527"/>
      <c r="H15" s="527"/>
      <c r="I15" s="527"/>
      <c r="J15" s="527"/>
      <c r="K15" s="527"/>
      <c r="L15" s="527"/>
      <c r="M15" s="527"/>
      <c r="N15" s="506"/>
    </row>
    <row r="16" spans="1:24" s="28" customFormat="1" ht="11.25" customHeight="1">
      <c r="A16" s="506"/>
      <c r="B16" s="506"/>
      <c r="C16" s="506"/>
      <c r="D16" s="506"/>
      <c r="E16" s="506"/>
      <c r="F16" s="506"/>
      <c r="G16" s="506"/>
      <c r="H16" s="506"/>
      <c r="I16" s="506"/>
      <c r="J16" s="506"/>
      <c r="K16" s="506"/>
      <c r="L16" s="506"/>
      <c r="M16" s="506"/>
      <c r="N16" s="506"/>
    </row>
    <row r="17" spans="1:24" s="28" customFormat="1" ht="19.149999999999999" customHeight="1">
      <c r="A17" s="506"/>
      <c r="B17" s="507" t="s">
        <v>239</v>
      </c>
      <c r="C17" s="506"/>
      <c r="D17" s="492"/>
      <c r="E17" s="492"/>
      <c r="F17" s="492"/>
      <c r="G17" s="492"/>
      <c r="H17" s="492"/>
      <c r="I17" s="492"/>
      <c r="J17" s="492"/>
      <c r="K17" s="492"/>
      <c r="L17" s="492"/>
      <c r="M17" s="492"/>
      <c r="N17" s="506"/>
      <c r="P17"/>
      <c r="Q17"/>
      <c r="R17"/>
      <c r="S17"/>
      <c r="T17"/>
      <c r="U17"/>
      <c r="V17"/>
      <c r="W17"/>
      <c r="X17"/>
    </row>
    <row r="18" spans="1:24" s="28" customFormat="1" ht="147" customHeight="1">
      <c r="A18" s="506"/>
      <c r="B18" s="528" t="s">
        <v>316</v>
      </c>
      <c r="C18" s="527"/>
      <c r="D18" s="527"/>
      <c r="E18" s="527"/>
      <c r="F18" s="527"/>
      <c r="G18" s="527"/>
      <c r="H18" s="527"/>
      <c r="I18" s="527"/>
      <c r="J18" s="527"/>
      <c r="K18" s="527"/>
      <c r="L18" s="527"/>
      <c r="M18" s="527"/>
      <c r="N18" s="506"/>
    </row>
    <row r="19" spans="1:24" s="28" customFormat="1" ht="11.25" customHeight="1">
      <c r="A19" s="506"/>
      <c r="B19" s="506"/>
      <c r="C19" s="506"/>
      <c r="D19" s="506"/>
      <c r="E19" s="506"/>
      <c r="F19" s="506"/>
      <c r="G19" s="506"/>
      <c r="H19" s="506"/>
      <c r="I19" s="506"/>
      <c r="J19" s="506"/>
      <c r="K19" s="506"/>
      <c r="L19" s="506"/>
      <c r="M19" s="506"/>
      <c r="N19" s="506"/>
    </row>
    <row r="20" spans="1:24" s="28" customFormat="1" ht="19.149999999999999" customHeight="1">
      <c r="A20" s="506"/>
      <c r="B20" s="507" t="s">
        <v>205</v>
      </c>
      <c r="C20" s="506"/>
      <c r="D20" s="492"/>
      <c r="E20" s="492"/>
      <c r="F20" s="492"/>
      <c r="G20" s="492"/>
      <c r="H20" s="492"/>
      <c r="I20" s="492"/>
      <c r="J20" s="492"/>
      <c r="K20" s="492"/>
      <c r="L20" s="492"/>
      <c r="M20" s="492"/>
      <c r="N20" s="506"/>
      <c r="P20"/>
      <c r="Q20"/>
      <c r="R20"/>
      <c r="S20"/>
      <c r="T20"/>
      <c r="U20"/>
      <c r="V20"/>
      <c r="W20"/>
      <c r="X20"/>
    </row>
    <row r="21" spans="1:24" s="28" customFormat="1" ht="87" customHeight="1">
      <c r="A21" s="506"/>
      <c r="B21" s="527" t="s">
        <v>300</v>
      </c>
      <c r="C21" s="527"/>
      <c r="D21" s="527"/>
      <c r="E21" s="527"/>
      <c r="F21" s="527"/>
      <c r="G21" s="527"/>
      <c r="H21" s="527"/>
      <c r="I21" s="527"/>
      <c r="J21" s="527"/>
      <c r="K21" s="527"/>
      <c r="L21" s="527"/>
      <c r="M21" s="527"/>
      <c r="N21" s="506"/>
    </row>
    <row r="22" spans="1:24" s="28" customFormat="1" ht="19.5" customHeight="1">
      <c r="A22" s="506"/>
      <c r="B22" s="527" t="s">
        <v>279</v>
      </c>
      <c r="C22" s="527"/>
      <c r="D22" s="527"/>
      <c r="E22" s="527"/>
      <c r="F22" s="527"/>
      <c r="G22" s="527"/>
      <c r="H22" s="527"/>
      <c r="I22" s="527"/>
      <c r="J22" s="527"/>
      <c r="K22" s="527"/>
      <c r="L22" s="527"/>
      <c r="M22" s="527"/>
      <c r="N22" s="506"/>
    </row>
    <row r="23" spans="1:24" s="28" customFormat="1" ht="17.25" customHeight="1">
      <c r="A23" s="506"/>
      <c r="B23" s="534" t="s">
        <v>206</v>
      </c>
      <c r="C23" s="534"/>
      <c r="D23" s="534"/>
      <c r="E23" s="534"/>
      <c r="F23" s="511"/>
      <c r="G23" s="533" t="s">
        <v>218</v>
      </c>
      <c r="H23" s="533"/>
      <c r="I23" s="533"/>
      <c r="J23" s="533"/>
      <c r="K23" s="508"/>
      <c r="L23" s="508"/>
      <c r="M23" s="508"/>
      <c r="N23" s="506"/>
    </row>
    <row r="24" spans="1:24" s="28" customFormat="1" ht="11.25" customHeight="1">
      <c r="A24" s="506"/>
      <c r="B24" s="512"/>
      <c r="C24" s="512"/>
      <c r="D24" s="512"/>
      <c r="E24" s="512"/>
      <c r="F24" s="512"/>
      <c r="G24" s="512"/>
      <c r="H24" s="512"/>
      <c r="I24" s="512"/>
      <c r="J24" s="512"/>
      <c r="K24" s="512"/>
      <c r="L24" s="512"/>
      <c r="M24" s="512"/>
      <c r="N24" s="506"/>
    </row>
    <row r="25" spans="1:24" ht="15.75">
      <c r="A25" s="492"/>
      <c r="B25" s="513" t="s">
        <v>204</v>
      </c>
      <c r="C25" s="512"/>
      <c r="D25" s="512"/>
      <c r="E25" s="512"/>
      <c r="F25" s="512"/>
      <c r="G25" s="512"/>
      <c r="H25" s="512"/>
      <c r="I25" s="512"/>
      <c r="J25" s="512"/>
      <c r="K25" s="512"/>
      <c r="L25" s="512"/>
      <c r="M25" s="512"/>
      <c r="N25" s="492"/>
    </row>
    <row r="26" spans="1:24" ht="133.5" customHeight="1">
      <c r="A26" s="492"/>
      <c r="B26" s="528" t="s">
        <v>317</v>
      </c>
      <c r="C26" s="527"/>
      <c r="D26" s="527"/>
      <c r="E26" s="527"/>
      <c r="F26" s="527"/>
      <c r="G26" s="527"/>
      <c r="H26" s="527"/>
      <c r="I26" s="527"/>
      <c r="J26" s="527"/>
      <c r="K26" s="527"/>
      <c r="L26" s="527"/>
      <c r="M26" s="527"/>
      <c r="N26" s="492"/>
    </row>
    <row r="27" spans="1:24" ht="171.75" customHeight="1">
      <c r="A27" s="492"/>
      <c r="B27" s="492"/>
      <c r="C27" s="492"/>
      <c r="D27" s="492"/>
      <c r="E27" s="492"/>
      <c r="F27" s="492"/>
      <c r="G27" s="492"/>
      <c r="H27" s="492"/>
      <c r="I27" s="492"/>
      <c r="J27" s="492"/>
      <c r="K27" s="492"/>
      <c r="L27" s="492"/>
      <c r="M27" s="492"/>
      <c r="N27" s="492"/>
    </row>
    <row r="28" spans="1:24">
      <c r="A28" s="492"/>
      <c r="B28" s="492"/>
      <c r="C28" s="492"/>
      <c r="D28" s="492"/>
      <c r="E28" s="492"/>
      <c r="F28" s="492"/>
      <c r="G28" s="492"/>
      <c r="H28" s="492"/>
      <c r="I28" s="492"/>
      <c r="J28" s="492"/>
      <c r="K28" s="492"/>
      <c r="L28" s="492"/>
      <c r="M28" s="492"/>
      <c r="N28" s="492"/>
    </row>
    <row r="29" spans="1:24" ht="93.75" customHeight="1">
      <c r="A29" s="492"/>
      <c r="B29" s="528" t="s">
        <v>219</v>
      </c>
      <c r="C29" s="527"/>
      <c r="D29" s="527"/>
      <c r="E29" s="527"/>
      <c r="F29" s="527"/>
      <c r="G29" s="527"/>
      <c r="H29" s="527"/>
      <c r="I29" s="527"/>
      <c r="J29" s="527"/>
      <c r="K29" s="527"/>
      <c r="L29" s="527"/>
      <c r="M29" s="527"/>
      <c r="N29" s="492"/>
    </row>
    <row r="30" spans="1:24" ht="11.25" customHeight="1">
      <c r="A30" s="492"/>
      <c r="B30" s="492"/>
      <c r="C30" s="492"/>
      <c r="D30" s="492"/>
      <c r="E30" s="492"/>
      <c r="F30" s="492"/>
      <c r="G30" s="492"/>
      <c r="H30" s="492"/>
      <c r="I30" s="492"/>
      <c r="J30" s="492"/>
      <c r="K30" s="492"/>
      <c r="L30" s="492"/>
      <c r="M30" s="492"/>
      <c r="N30" s="492"/>
    </row>
    <row r="31" spans="1:24" ht="18.75">
      <c r="A31" s="492"/>
      <c r="B31" s="507" t="s">
        <v>207</v>
      </c>
      <c r="C31" s="506"/>
      <c r="D31" s="492"/>
      <c r="E31" s="492"/>
      <c r="F31" s="492"/>
      <c r="G31" s="492"/>
      <c r="H31" s="492"/>
      <c r="I31" s="492"/>
      <c r="J31" s="492"/>
      <c r="K31" s="492"/>
      <c r="L31" s="492"/>
      <c r="M31" s="492"/>
      <c r="N31" s="492"/>
    </row>
    <row r="32" spans="1:24" ht="37.5" customHeight="1">
      <c r="A32" s="492"/>
      <c r="B32" s="528" t="s">
        <v>222</v>
      </c>
      <c r="C32" s="527"/>
      <c r="D32" s="527"/>
      <c r="E32" s="527"/>
      <c r="F32" s="527"/>
      <c r="G32" s="527"/>
      <c r="H32" s="527"/>
      <c r="I32" s="527"/>
      <c r="J32" s="527"/>
      <c r="K32" s="527"/>
      <c r="L32" s="527"/>
      <c r="M32" s="527"/>
      <c r="N32" s="492"/>
    </row>
    <row r="33" spans="1:14">
      <c r="A33" s="492"/>
      <c r="B33" s="492"/>
      <c r="C33" s="492"/>
      <c r="D33" s="492"/>
      <c r="E33" s="492"/>
      <c r="F33" s="492"/>
      <c r="G33" s="492"/>
      <c r="H33" s="492"/>
      <c r="I33" s="492"/>
      <c r="J33" s="492"/>
      <c r="K33" s="492"/>
      <c r="L33" s="492"/>
      <c r="M33" s="492"/>
      <c r="N33" s="492"/>
    </row>
    <row r="34" spans="1:14" ht="21">
      <c r="A34" s="492"/>
      <c r="B34" s="509" t="s">
        <v>209</v>
      </c>
      <c r="C34" s="503"/>
      <c r="D34" s="503"/>
      <c r="E34" s="503"/>
      <c r="F34" s="503"/>
      <c r="G34" s="503"/>
      <c r="H34" s="503"/>
      <c r="I34" s="503"/>
      <c r="J34" s="503"/>
      <c r="K34" s="503"/>
      <c r="L34" s="503"/>
      <c r="M34" s="503"/>
      <c r="N34" s="492"/>
    </row>
    <row r="35" spans="1:14" s="28" customFormat="1" ht="19.149999999999999" customHeight="1">
      <c r="A35" s="506"/>
      <c r="B35" s="506"/>
      <c r="C35" s="506"/>
      <c r="D35" s="506"/>
      <c r="E35" s="506"/>
      <c r="F35" s="506"/>
      <c r="G35" s="506"/>
      <c r="H35" s="506"/>
      <c r="I35" s="506"/>
      <c r="J35" s="506"/>
      <c r="K35" s="506"/>
      <c r="L35" s="506"/>
      <c r="M35" s="506"/>
      <c r="N35" s="506"/>
    </row>
    <row r="36" spans="1:14" ht="18.75">
      <c r="A36" s="492"/>
      <c r="B36" s="507" t="s">
        <v>212</v>
      </c>
      <c r="C36" s="492"/>
      <c r="D36" s="492"/>
      <c r="E36" s="492"/>
      <c r="F36" s="492"/>
      <c r="G36" s="492"/>
      <c r="H36" s="492"/>
      <c r="I36" s="492"/>
      <c r="J36" s="492"/>
      <c r="K36" s="492"/>
      <c r="L36" s="492"/>
      <c r="M36" s="492"/>
      <c r="N36" s="492"/>
    </row>
    <row r="37" spans="1:14" ht="68.25" customHeight="1">
      <c r="A37" s="492"/>
      <c r="B37" s="528" t="s">
        <v>213</v>
      </c>
      <c r="C37" s="527"/>
      <c r="D37" s="527"/>
      <c r="E37" s="527"/>
      <c r="F37" s="527"/>
      <c r="G37" s="527"/>
      <c r="H37" s="527"/>
      <c r="I37" s="527"/>
      <c r="J37" s="527"/>
      <c r="K37" s="527"/>
      <c r="L37" s="527"/>
      <c r="M37" s="527"/>
      <c r="N37" s="492"/>
    </row>
    <row r="38" spans="1:14" ht="70.5" customHeight="1">
      <c r="A38" s="492"/>
      <c r="B38" s="514"/>
      <c r="C38" s="515"/>
      <c r="D38" s="515"/>
      <c r="E38" s="515"/>
      <c r="F38" s="515"/>
      <c r="G38" s="515"/>
      <c r="H38" s="515"/>
      <c r="I38" s="515"/>
      <c r="J38" s="515"/>
      <c r="K38" s="515"/>
      <c r="L38" s="515"/>
      <c r="M38" s="515"/>
      <c r="N38" s="492"/>
    </row>
    <row r="39" spans="1:14" ht="18.75">
      <c r="A39" s="492"/>
      <c r="B39" s="507" t="s">
        <v>301</v>
      </c>
      <c r="C39" s="492"/>
      <c r="D39" s="492"/>
      <c r="E39" s="492"/>
      <c r="F39" s="492"/>
      <c r="G39" s="492"/>
      <c r="H39" s="492"/>
      <c r="I39" s="492"/>
      <c r="J39" s="492"/>
      <c r="K39" s="492"/>
      <c r="L39" s="492"/>
      <c r="M39" s="492"/>
      <c r="N39" s="492"/>
    </row>
    <row r="40" spans="1:14" ht="38.25" customHeight="1">
      <c r="A40" s="492"/>
      <c r="B40" s="528" t="s">
        <v>318</v>
      </c>
      <c r="C40" s="527"/>
      <c r="D40" s="527"/>
      <c r="E40" s="527"/>
      <c r="F40" s="527"/>
      <c r="G40" s="527"/>
      <c r="H40" s="527"/>
      <c r="I40" s="527"/>
      <c r="J40" s="527"/>
      <c r="K40" s="527"/>
      <c r="L40" s="527"/>
      <c r="M40" s="527"/>
      <c r="N40" s="492"/>
    </row>
    <row r="41" spans="1:14" ht="50.25" customHeight="1">
      <c r="A41" s="492"/>
      <c r="B41" s="528" t="s">
        <v>220</v>
      </c>
      <c r="C41" s="527"/>
      <c r="D41" s="527"/>
      <c r="E41" s="527"/>
      <c r="F41" s="527"/>
      <c r="G41" s="527"/>
      <c r="H41" s="527"/>
      <c r="I41" s="527"/>
      <c r="J41" s="527"/>
      <c r="K41" s="527"/>
      <c r="L41" s="527"/>
      <c r="M41" s="527"/>
      <c r="N41" s="492"/>
    </row>
    <row r="42" spans="1:14" ht="111.75" customHeight="1">
      <c r="A42" s="492"/>
      <c r="B42" s="510"/>
      <c r="C42" s="508"/>
      <c r="D42" s="508"/>
      <c r="E42" s="508"/>
      <c r="F42" s="508"/>
      <c r="G42" s="508"/>
      <c r="H42" s="508"/>
      <c r="I42" s="508"/>
      <c r="J42" s="508"/>
      <c r="K42" s="508"/>
      <c r="L42" s="508"/>
      <c r="M42" s="508"/>
      <c r="N42" s="492"/>
    </row>
    <row r="43" spans="1:14" ht="17.25">
      <c r="A43" s="492"/>
      <c r="B43" s="514"/>
      <c r="C43" s="515"/>
      <c r="D43" s="515"/>
      <c r="E43" s="515"/>
      <c r="F43" s="515"/>
      <c r="G43" s="515"/>
      <c r="H43" s="515"/>
      <c r="I43" s="515"/>
      <c r="J43" s="515"/>
      <c r="K43" s="515"/>
      <c r="L43" s="515"/>
      <c r="M43" s="515"/>
      <c r="N43" s="492"/>
    </row>
    <row r="44" spans="1:14" ht="18.75">
      <c r="A44" s="492"/>
      <c r="B44" s="507" t="s">
        <v>216</v>
      </c>
      <c r="C44" s="492"/>
      <c r="D44" s="492"/>
      <c r="E44" s="492"/>
      <c r="F44" s="492"/>
      <c r="G44" s="492"/>
      <c r="H44" s="492"/>
      <c r="I44" s="492"/>
      <c r="J44" s="492"/>
      <c r="K44" s="492"/>
      <c r="L44" s="492"/>
      <c r="M44" s="492"/>
      <c r="N44" s="492"/>
    </row>
    <row r="45" spans="1:14" ht="342" customHeight="1">
      <c r="A45" s="492"/>
      <c r="B45" s="528" t="s">
        <v>302</v>
      </c>
      <c r="C45" s="527"/>
      <c r="D45" s="527"/>
      <c r="E45" s="527"/>
      <c r="F45" s="527"/>
      <c r="G45" s="527"/>
      <c r="H45" s="527"/>
      <c r="I45" s="527"/>
      <c r="J45" s="527"/>
      <c r="K45" s="527"/>
      <c r="L45" s="527"/>
      <c r="M45" s="527"/>
      <c r="N45" s="492"/>
    </row>
    <row r="46" spans="1:14" ht="18.75">
      <c r="A46" s="492"/>
      <c r="B46" s="507"/>
      <c r="C46" s="492"/>
      <c r="D46" s="492"/>
      <c r="E46" s="492"/>
      <c r="F46" s="492"/>
      <c r="G46" s="492"/>
      <c r="H46" s="492"/>
      <c r="I46" s="492"/>
      <c r="J46" s="492"/>
      <c r="K46" s="492"/>
      <c r="L46" s="492"/>
      <c r="M46" s="492"/>
      <c r="N46" s="492"/>
    </row>
    <row r="47" spans="1:14" ht="18.75">
      <c r="A47" s="492"/>
      <c r="B47" s="507" t="s">
        <v>215</v>
      </c>
      <c r="C47" s="492"/>
      <c r="D47" s="492"/>
      <c r="E47" s="492"/>
      <c r="F47" s="492"/>
      <c r="G47" s="492"/>
      <c r="H47" s="492"/>
      <c r="I47" s="492"/>
      <c r="J47" s="492"/>
      <c r="K47" s="492"/>
      <c r="L47" s="492"/>
      <c r="M47" s="492"/>
      <c r="N47" s="492"/>
    </row>
    <row r="48" spans="1:14" ht="240" customHeight="1">
      <c r="A48" s="492"/>
      <c r="B48" s="528" t="s">
        <v>325</v>
      </c>
      <c r="C48" s="527"/>
      <c r="D48" s="527"/>
      <c r="E48" s="527"/>
      <c r="F48" s="527"/>
      <c r="G48" s="527"/>
      <c r="H48" s="527"/>
      <c r="I48" s="527"/>
      <c r="J48" s="527"/>
      <c r="K48" s="527"/>
      <c r="L48" s="527"/>
      <c r="M48" s="527"/>
      <c r="N48" s="492"/>
    </row>
    <row r="49" spans="1:40" ht="18.75">
      <c r="A49" s="492"/>
      <c r="B49" s="507"/>
      <c r="C49" s="492"/>
      <c r="D49" s="492"/>
      <c r="E49" s="492"/>
      <c r="F49" s="492"/>
      <c r="G49" s="492"/>
      <c r="H49" s="492"/>
      <c r="I49" s="492"/>
      <c r="J49" s="492"/>
      <c r="K49" s="492"/>
      <c r="L49" s="492"/>
      <c r="M49" s="492"/>
      <c r="N49" s="492"/>
    </row>
    <row r="50" spans="1:40" ht="18.75">
      <c r="A50" s="492"/>
      <c r="B50" s="507" t="s">
        <v>214</v>
      </c>
      <c r="C50" s="492"/>
      <c r="D50" s="492"/>
      <c r="E50" s="492"/>
      <c r="F50" s="492"/>
      <c r="G50" s="492"/>
      <c r="H50" s="492"/>
      <c r="I50" s="492"/>
      <c r="J50" s="492"/>
      <c r="K50" s="492"/>
      <c r="L50" s="492"/>
      <c r="M50" s="492"/>
      <c r="N50" s="492"/>
    </row>
    <row r="51" spans="1:40" ht="199.5" customHeight="1">
      <c r="A51" s="492"/>
      <c r="B51" s="528" t="s">
        <v>310</v>
      </c>
      <c r="C51" s="527"/>
      <c r="D51" s="527"/>
      <c r="E51" s="527"/>
      <c r="F51" s="527"/>
      <c r="G51" s="527"/>
      <c r="H51" s="527"/>
      <c r="I51" s="527"/>
      <c r="J51" s="527"/>
      <c r="K51" s="527"/>
      <c r="L51" s="527"/>
      <c r="M51" s="527"/>
      <c r="N51" s="492"/>
    </row>
    <row r="52" spans="1:40" ht="18.75">
      <c r="A52" s="492"/>
      <c r="B52" s="507"/>
      <c r="C52" s="492"/>
      <c r="D52" s="492"/>
      <c r="E52" s="492"/>
      <c r="F52" s="492"/>
      <c r="G52" s="492"/>
      <c r="H52" s="492"/>
      <c r="I52" s="492"/>
      <c r="J52" s="492"/>
      <c r="K52" s="492"/>
      <c r="L52" s="492"/>
      <c r="M52" s="492"/>
      <c r="N52" s="492"/>
    </row>
    <row r="53" spans="1:40" ht="18.75">
      <c r="A53" s="492"/>
      <c r="B53" s="507" t="s">
        <v>303</v>
      </c>
      <c r="C53" s="492"/>
      <c r="D53" s="492"/>
      <c r="E53" s="492"/>
      <c r="F53" s="492"/>
      <c r="G53" s="492"/>
      <c r="H53" s="492"/>
      <c r="I53" s="492"/>
      <c r="J53" s="492"/>
      <c r="K53" s="492"/>
      <c r="L53" s="492"/>
      <c r="M53" s="492"/>
      <c r="N53" s="492"/>
    </row>
    <row r="54" spans="1:40" ht="87.75" customHeight="1">
      <c r="A54" s="492"/>
      <c r="B54" s="528" t="s">
        <v>319</v>
      </c>
      <c r="C54" s="527"/>
      <c r="D54" s="527"/>
      <c r="E54" s="527"/>
      <c r="F54" s="527"/>
      <c r="G54" s="527"/>
      <c r="H54" s="527"/>
      <c r="I54" s="527"/>
      <c r="J54" s="527"/>
      <c r="K54" s="527"/>
      <c r="L54" s="527"/>
      <c r="M54" s="527"/>
      <c r="N54" s="492"/>
    </row>
    <row r="55" spans="1:40" ht="245.25" customHeight="1">
      <c r="A55" s="492"/>
      <c r="B55" s="510"/>
      <c r="C55" s="508"/>
      <c r="D55" s="508"/>
      <c r="E55" s="508"/>
      <c r="F55" s="508"/>
      <c r="G55" s="508"/>
      <c r="H55" s="508"/>
      <c r="I55" s="508"/>
      <c r="J55" s="508"/>
      <c r="K55" s="508"/>
      <c r="L55" s="508"/>
      <c r="M55" s="508"/>
      <c r="N55" s="492"/>
    </row>
    <row r="56" spans="1:40" ht="18.75">
      <c r="A56" s="492"/>
      <c r="B56" s="507"/>
      <c r="C56" s="492"/>
      <c r="D56" s="492"/>
      <c r="E56" s="492"/>
      <c r="F56" s="492"/>
      <c r="G56" s="492"/>
      <c r="H56" s="492"/>
      <c r="I56" s="492"/>
      <c r="J56" s="492"/>
      <c r="K56" s="492"/>
      <c r="L56" s="492"/>
      <c r="M56" s="492"/>
      <c r="N56" s="492"/>
    </row>
    <row r="57" spans="1:40" ht="18.75">
      <c r="A57" s="492"/>
      <c r="B57" s="507" t="s">
        <v>217</v>
      </c>
      <c r="C57" s="492"/>
      <c r="D57" s="492"/>
      <c r="E57" s="492"/>
      <c r="F57" s="492"/>
      <c r="G57" s="492"/>
      <c r="H57" s="492"/>
      <c r="I57" s="492"/>
      <c r="J57" s="492"/>
      <c r="K57" s="492"/>
      <c r="L57" s="492"/>
      <c r="M57" s="492"/>
      <c r="N57" s="492"/>
    </row>
    <row r="58" spans="1:40" ht="104.25" customHeight="1">
      <c r="A58" s="492"/>
      <c r="B58" s="528" t="s">
        <v>238</v>
      </c>
      <c r="C58" s="527"/>
      <c r="D58" s="527"/>
      <c r="E58" s="527"/>
      <c r="F58" s="527"/>
      <c r="G58" s="527"/>
      <c r="H58" s="527"/>
      <c r="I58" s="527"/>
      <c r="J58" s="527"/>
      <c r="K58" s="527"/>
      <c r="L58" s="527"/>
      <c r="M58" s="527"/>
      <c r="N58" s="492"/>
    </row>
    <row r="59" spans="1:40" ht="225.75" customHeight="1">
      <c r="A59" s="492"/>
      <c r="B59" s="492"/>
      <c r="C59" s="492"/>
      <c r="D59" s="492"/>
      <c r="E59" s="492"/>
      <c r="F59" s="492"/>
      <c r="G59" s="492"/>
      <c r="H59" s="492"/>
      <c r="I59" s="492"/>
      <c r="J59" s="492"/>
      <c r="K59" s="492"/>
      <c r="L59" s="492"/>
      <c r="M59" s="492"/>
      <c r="N59" s="492"/>
    </row>
    <row r="60" spans="1:40" ht="15" customHeight="1">
      <c r="A60" s="492"/>
      <c r="B60" s="492"/>
      <c r="C60" s="492"/>
      <c r="D60" s="516"/>
      <c r="E60" s="516"/>
      <c r="F60" s="516"/>
      <c r="G60" s="516"/>
      <c r="H60" s="516"/>
      <c r="I60" s="516"/>
      <c r="J60" s="516"/>
      <c r="K60" s="492"/>
      <c r="L60" s="492"/>
      <c r="M60" s="492"/>
      <c r="N60" s="492"/>
    </row>
    <row r="61" spans="1:40" ht="15" customHeight="1">
      <c r="A61" s="492"/>
      <c r="B61" s="492"/>
      <c r="C61" s="492"/>
      <c r="D61" s="517"/>
      <c r="E61" s="517"/>
      <c r="F61" s="517"/>
      <c r="G61" s="517"/>
      <c r="H61" s="517"/>
      <c r="I61" s="517"/>
      <c r="J61" s="517"/>
      <c r="K61" s="517"/>
      <c r="L61" s="517"/>
      <c r="M61" s="517"/>
      <c r="N61" s="517"/>
      <c r="O61" s="2"/>
      <c r="P61" s="2"/>
      <c r="Q61" s="2"/>
      <c r="R61" s="2"/>
      <c r="S61" s="2"/>
      <c r="T61" s="2"/>
      <c r="U61" s="2"/>
      <c r="V61" s="2"/>
      <c r="W61" s="2"/>
      <c r="X61" s="2"/>
      <c r="Y61" s="2"/>
      <c r="Z61" s="2"/>
      <c r="AA61" s="2"/>
      <c r="AB61" s="2"/>
      <c r="AC61" s="2"/>
      <c r="AD61" s="2"/>
      <c r="AE61" s="2"/>
      <c r="AF61" s="2"/>
      <c r="AG61" s="2"/>
      <c r="AH61" s="2"/>
      <c r="AI61" s="2"/>
      <c r="AJ61" s="2"/>
      <c r="AK61" s="2"/>
      <c r="AL61" s="2"/>
      <c r="AM61" s="2"/>
      <c r="AN61" s="2"/>
    </row>
    <row r="62" spans="1:40" ht="15" hidden="1" customHeight="1">
      <c r="A62" s="492"/>
      <c r="B62" s="492"/>
      <c r="C62" s="492"/>
      <c r="D62" s="517"/>
      <c r="E62" s="517"/>
      <c r="F62" s="517"/>
      <c r="G62" s="517"/>
      <c r="H62" s="517"/>
      <c r="I62" s="517"/>
      <c r="J62" s="517"/>
      <c r="K62" s="517"/>
      <c r="L62" s="517"/>
      <c r="M62" s="517"/>
      <c r="N62" s="517"/>
      <c r="O62" s="2"/>
      <c r="P62" s="2"/>
      <c r="Q62" s="2"/>
      <c r="R62" s="2"/>
      <c r="S62" s="2"/>
      <c r="T62" s="2"/>
      <c r="U62" s="2"/>
      <c r="V62" s="2"/>
      <c r="W62" s="2"/>
      <c r="X62" s="2"/>
      <c r="Y62" s="2"/>
      <c r="Z62" s="2"/>
      <c r="AA62" s="2"/>
      <c r="AB62" s="2"/>
      <c r="AC62" s="2"/>
      <c r="AD62" s="2"/>
      <c r="AE62" s="2"/>
      <c r="AF62" s="2"/>
      <c r="AG62" s="2"/>
      <c r="AH62" s="2"/>
      <c r="AI62" s="2"/>
      <c r="AJ62" s="2"/>
      <c r="AK62" s="2"/>
      <c r="AL62" s="2"/>
      <c r="AM62" s="2"/>
      <c r="AN62" s="2"/>
    </row>
    <row r="63" spans="1:40" ht="15" hidden="1" customHeight="1">
      <c r="A63" s="492"/>
      <c r="B63" s="492"/>
      <c r="C63" s="492"/>
      <c r="D63" s="517"/>
      <c r="E63" s="517"/>
      <c r="F63" s="517"/>
      <c r="G63" s="517"/>
      <c r="H63" s="517"/>
      <c r="I63" s="517"/>
      <c r="J63" s="517"/>
      <c r="K63" s="517"/>
      <c r="L63" s="517"/>
      <c r="M63" s="517"/>
      <c r="N63" s="517"/>
      <c r="O63" s="2"/>
      <c r="P63" s="2"/>
      <c r="Q63" s="2"/>
      <c r="R63" s="2"/>
      <c r="S63" s="2"/>
      <c r="T63" s="2"/>
      <c r="U63" s="2"/>
      <c r="V63" s="2"/>
      <c r="W63" s="2"/>
      <c r="X63" s="2"/>
      <c r="Y63" s="2"/>
      <c r="Z63" s="2"/>
      <c r="AA63" s="2"/>
      <c r="AB63" s="2"/>
      <c r="AC63" s="2"/>
      <c r="AD63" s="2"/>
      <c r="AE63" s="2"/>
      <c r="AF63" s="2"/>
      <c r="AG63" s="2"/>
      <c r="AH63" s="2"/>
      <c r="AI63" s="2"/>
      <c r="AJ63" s="2"/>
      <c r="AK63" s="2"/>
      <c r="AL63" s="2"/>
      <c r="AM63" s="2"/>
      <c r="AN63" s="2"/>
    </row>
    <row r="64" spans="1:40" ht="15" hidden="1" customHeight="1">
      <c r="A64" s="492"/>
      <c r="B64" s="492"/>
      <c r="C64" s="492"/>
      <c r="D64" s="517"/>
      <c r="E64" s="517"/>
      <c r="F64" s="517"/>
      <c r="G64" s="517"/>
      <c r="H64" s="517"/>
      <c r="I64" s="517"/>
      <c r="J64" s="517"/>
      <c r="K64" s="517"/>
      <c r="L64" s="517"/>
      <c r="M64" s="517"/>
      <c r="N64" s="517"/>
      <c r="O64" s="2"/>
      <c r="P64" s="2"/>
      <c r="Q64" s="2"/>
      <c r="R64" s="2"/>
      <c r="S64" s="2"/>
      <c r="T64" s="2"/>
      <c r="U64" s="2"/>
      <c r="V64" s="2"/>
      <c r="W64" s="2"/>
      <c r="X64" s="2"/>
      <c r="Y64" s="2"/>
      <c r="Z64" s="2"/>
      <c r="AA64" s="2"/>
      <c r="AB64" s="2"/>
      <c r="AC64" s="2"/>
      <c r="AD64" s="2"/>
      <c r="AE64" s="2"/>
      <c r="AF64" s="2"/>
      <c r="AG64" s="2"/>
      <c r="AH64" s="2"/>
      <c r="AI64" s="2"/>
      <c r="AJ64" s="2"/>
      <c r="AK64" s="2"/>
      <c r="AL64" s="2"/>
      <c r="AM64" s="2"/>
      <c r="AN64" s="2"/>
    </row>
    <row r="65" spans="1:40" ht="15" hidden="1" customHeight="1">
      <c r="A65" s="492"/>
      <c r="B65" s="492"/>
      <c r="C65" s="492"/>
      <c r="D65" s="517"/>
      <c r="E65" s="517"/>
      <c r="F65" s="517"/>
      <c r="G65" s="517"/>
      <c r="H65" s="517"/>
      <c r="I65" s="517"/>
      <c r="J65" s="517"/>
      <c r="K65" s="517"/>
      <c r="L65" s="517"/>
      <c r="M65" s="517"/>
      <c r="N65" s="517"/>
      <c r="O65" s="2"/>
      <c r="P65" s="2"/>
      <c r="Q65" s="2"/>
      <c r="R65" s="2"/>
      <c r="S65" s="2"/>
      <c r="T65" s="2"/>
      <c r="U65" s="2"/>
      <c r="V65" s="2"/>
      <c r="W65" s="2"/>
      <c r="X65" s="2"/>
      <c r="Y65" s="2"/>
      <c r="Z65" s="2"/>
      <c r="AA65" s="2"/>
      <c r="AB65" s="2"/>
      <c r="AC65" s="2"/>
      <c r="AD65" s="2"/>
      <c r="AE65" s="2"/>
      <c r="AF65" s="2"/>
      <c r="AG65" s="2"/>
      <c r="AH65" s="2"/>
      <c r="AI65" s="2"/>
      <c r="AJ65" s="2"/>
      <c r="AK65" s="2"/>
      <c r="AL65" s="2"/>
      <c r="AM65" s="2"/>
      <c r="AN65" s="2"/>
    </row>
    <row r="66" spans="1:40" ht="15" hidden="1" customHeight="1">
      <c r="A66" s="492"/>
      <c r="B66" s="492"/>
      <c r="C66" s="492"/>
      <c r="D66" s="517"/>
      <c r="E66" s="517"/>
      <c r="F66" s="517"/>
      <c r="G66" s="517"/>
      <c r="H66" s="517"/>
      <c r="I66" s="517"/>
      <c r="J66" s="517"/>
      <c r="K66" s="517"/>
      <c r="L66" s="517"/>
      <c r="M66" s="517"/>
      <c r="N66" s="517"/>
      <c r="O66" s="2"/>
      <c r="P66" s="2"/>
      <c r="Q66" s="2"/>
      <c r="R66" s="2"/>
      <c r="S66" s="2"/>
      <c r="T66" s="2"/>
      <c r="U66" s="2"/>
      <c r="V66" s="2"/>
      <c r="W66" s="2"/>
      <c r="X66" s="2"/>
      <c r="Y66" s="2"/>
      <c r="Z66" s="2"/>
      <c r="AA66" s="2"/>
      <c r="AB66" s="2"/>
      <c r="AC66" s="2"/>
      <c r="AD66" s="2"/>
      <c r="AE66" s="2"/>
      <c r="AF66" s="2"/>
      <c r="AG66" s="2"/>
      <c r="AH66" s="2"/>
      <c r="AI66" s="2"/>
      <c r="AJ66" s="2"/>
      <c r="AK66" s="2"/>
      <c r="AL66" s="2"/>
      <c r="AM66" s="2"/>
      <c r="AN66" s="2"/>
    </row>
    <row r="67" spans="1:40" ht="15" hidden="1" customHeight="1">
      <c r="A67" s="492"/>
      <c r="B67" s="492"/>
      <c r="C67" s="492"/>
      <c r="D67" s="517"/>
      <c r="E67" s="517"/>
      <c r="F67" s="517"/>
      <c r="G67" s="517"/>
      <c r="H67" s="517"/>
      <c r="I67" s="517"/>
      <c r="J67" s="517"/>
      <c r="K67" s="517"/>
      <c r="L67" s="517"/>
      <c r="M67" s="517"/>
      <c r="N67" s="517"/>
      <c r="O67" s="2"/>
      <c r="P67" s="2"/>
      <c r="Q67" s="2"/>
      <c r="R67" s="2"/>
      <c r="S67" s="2"/>
      <c r="T67" s="2"/>
      <c r="U67" s="2"/>
      <c r="V67" s="2"/>
      <c r="W67" s="2"/>
      <c r="X67" s="2"/>
      <c r="Y67" s="2"/>
      <c r="Z67" s="2"/>
      <c r="AA67" s="2"/>
      <c r="AB67" s="2"/>
      <c r="AC67" s="2"/>
      <c r="AD67" s="2"/>
      <c r="AE67" s="2"/>
      <c r="AF67" s="2"/>
      <c r="AG67" s="2"/>
      <c r="AH67" s="2"/>
      <c r="AI67" s="2"/>
      <c r="AJ67" s="2"/>
      <c r="AK67" s="2"/>
      <c r="AL67" s="2"/>
      <c r="AM67" s="2"/>
      <c r="AN67" s="2"/>
    </row>
    <row r="68" spans="1:40" ht="15" hidden="1" customHeight="1">
      <c r="A68" s="492"/>
      <c r="B68" s="492"/>
      <c r="C68" s="492"/>
      <c r="D68" s="517"/>
      <c r="E68" s="517"/>
      <c r="F68" s="517"/>
      <c r="G68" s="517"/>
      <c r="H68" s="517"/>
      <c r="I68" s="517"/>
      <c r="J68" s="517"/>
      <c r="K68" s="517"/>
      <c r="L68" s="517"/>
      <c r="M68" s="517"/>
      <c r="N68" s="517"/>
      <c r="O68" s="2"/>
      <c r="P68" s="2"/>
      <c r="Q68" s="2"/>
      <c r="R68" s="2"/>
      <c r="S68" s="2"/>
      <c r="T68" s="2"/>
      <c r="U68" s="2"/>
      <c r="V68" s="2"/>
      <c r="W68" s="2"/>
      <c r="X68" s="2"/>
      <c r="Y68" s="2"/>
      <c r="Z68" s="2"/>
      <c r="AA68" s="2"/>
      <c r="AB68" s="2"/>
      <c r="AC68" s="2"/>
      <c r="AD68" s="2"/>
      <c r="AE68" s="2"/>
      <c r="AF68" s="2"/>
      <c r="AG68" s="2"/>
      <c r="AH68" s="2"/>
      <c r="AI68" s="2"/>
      <c r="AJ68" s="2"/>
      <c r="AK68" s="2"/>
      <c r="AL68" s="2"/>
      <c r="AM68" s="2"/>
      <c r="AN68" s="2"/>
    </row>
    <row r="69" spans="1:40" ht="15" hidden="1" customHeight="1">
      <c r="A69" s="492"/>
      <c r="B69" s="492"/>
      <c r="C69" s="492"/>
      <c r="D69" s="517"/>
      <c r="E69" s="517"/>
      <c r="F69" s="517"/>
      <c r="G69" s="517"/>
      <c r="H69" s="517"/>
      <c r="I69" s="517"/>
      <c r="J69" s="517"/>
      <c r="K69" s="517"/>
      <c r="L69" s="517"/>
      <c r="M69" s="517"/>
      <c r="N69" s="517"/>
      <c r="O69" s="2"/>
      <c r="P69" s="2"/>
      <c r="Q69" s="2"/>
      <c r="R69" s="2"/>
      <c r="S69" s="2"/>
      <c r="T69" s="2"/>
      <c r="U69" s="2"/>
      <c r="V69" s="2"/>
      <c r="W69" s="2"/>
      <c r="X69" s="2"/>
      <c r="Y69" s="2"/>
      <c r="Z69" s="2"/>
      <c r="AA69" s="2"/>
      <c r="AB69" s="2"/>
      <c r="AC69" s="2"/>
      <c r="AD69" s="2"/>
      <c r="AE69" s="2"/>
      <c r="AF69" s="2"/>
      <c r="AG69" s="2"/>
      <c r="AH69" s="2"/>
      <c r="AI69" s="2"/>
      <c r="AJ69" s="2"/>
      <c r="AK69" s="2"/>
      <c r="AL69" s="2"/>
      <c r="AM69" s="2"/>
      <c r="AN69" s="2"/>
    </row>
    <row r="70" spans="1:40" ht="15" hidden="1" customHeight="1">
      <c r="A70" s="492"/>
      <c r="B70" s="492"/>
      <c r="C70" s="492"/>
      <c r="D70" s="517"/>
      <c r="E70" s="517"/>
      <c r="F70" s="517"/>
      <c r="G70" s="517"/>
      <c r="H70" s="517"/>
      <c r="I70" s="517"/>
      <c r="J70" s="517"/>
      <c r="K70" s="517"/>
      <c r="L70" s="517"/>
      <c r="M70" s="517"/>
      <c r="N70" s="517"/>
      <c r="O70" s="2"/>
      <c r="P70" s="2"/>
      <c r="Q70" s="2"/>
      <c r="R70" s="2"/>
      <c r="S70" s="2"/>
      <c r="T70" s="2"/>
      <c r="U70" s="2"/>
      <c r="V70" s="2"/>
      <c r="W70" s="2"/>
      <c r="X70" s="2"/>
      <c r="Y70" s="2"/>
      <c r="Z70" s="2"/>
      <c r="AA70" s="2"/>
      <c r="AB70" s="2"/>
      <c r="AC70" s="2"/>
      <c r="AD70" s="2"/>
      <c r="AE70" s="2"/>
      <c r="AF70" s="2"/>
      <c r="AG70" s="2"/>
      <c r="AH70" s="2"/>
      <c r="AI70" s="2"/>
      <c r="AJ70" s="2"/>
      <c r="AK70" s="2"/>
      <c r="AL70" s="2"/>
      <c r="AM70" s="2"/>
      <c r="AN70" s="2"/>
    </row>
    <row r="71" spans="1:40" ht="15" hidden="1" customHeight="1">
      <c r="A71" s="492"/>
      <c r="B71" s="492"/>
      <c r="C71" s="492"/>
      <c r="D71" s="517"/>
      <c r="E71" s="517"/>
      <c r="F71" s="517"/>
      <c r="G71" s="517"/>
      <c r="H71" s="517"/>
      <c r="I71" s="517"/>
      <c r="J71" s="517"/>
      <c r="K71" s="517"/>
      <c r="L71" s="517"/>
      <c r="M71" s="517"/>
      <c r="N71" s="517"/>
      <c r="O71" s="2"/>
      <c r="P71" s="2"/>
      <c r="Q71" s="2"/>
      <c r="R71" s="2"/>
      <c r="S71" s="2"/>
      <c r="T71" s="2"/>
      <c r="U71" s="2"/>
      <c r="V71" s="2"/>
      <c r="W71" s="2"/>
      <c r="X71" s="2"/>
      <c r="Y71" s="2"/>
      <c r="Z71" s="2"/>
      <c r="AA71" s="2"/>
      <c r="AB71" s="2"/>
      <c r="AC71" s="2"/>
      <c r="AD71" s="2"/>
      <c r="AE71" s="2"/>
      <c r="AF71" s="2"/>
      <c r="AG71" s="2"/>
      <c r="AH71" s="2"/>
      <c r="AI71" s="2"/>
      <c r="AJ71" s="2"/>
      <c r="AK71" s="2"/>
      <c r="AL71" s="2"/>
      <c r="AM71" s="2"/>
      <c r="AN71" s="2"/>
    </row>
    <row r="72" spans="1:40" ht="15" hidden="1" customHeight="1">
      <c r="A72" s="492"/>
      <c r="B72" s="492"/>
      <c r="C72" s="492"/>
      <c r="D72" s="517"/>
      <c r="E72" s="517"/>
      <c r="F72" s="517"/>
      <c r="G72" s="517"/>
      <c r="H72" s="517"/>
      <c r="I72" s="517"/>
      <c r="J72" s="517"/>
      <c r="K72" s="517"/>
      <c r="L72" s="517"/>
      <c r="M72" s="517"/>
      <c r="N72" s="517"/>
      <c r="O72" s="2"/>
      <c r="P72" s="2"/>
      <c r="Q72" s="2"/>
      <c r="R72" s="2"/>
      <c r="S72" s="2"/>
      <c r="T72" s="2"/>
      <c r="U72" s="2"/>
      <c r="V72" s="2"/>
      <c r="W72" s="2"/>
      <c r="X72" s="2"/>
      <c r="Y72" s="2"/>
      <c r="Z72" s="2"/>
      <c r="AA72" s="2"/>
      <c r="AB72" s="2"/>
      <c r="AC72" s="2"/>
      <c r="AD72" s="2"/>
      <c r="AE72" s="2"/>
      <c r="AF72" s="2"/>
      <c r="AG72" s="2"/>
      <c r="AH72" s="2"/>
      <c r="AI72" s="2"/>
      <c r="AJ72" s="2"/>
      <c r="AK72" s="2"/>
      <c r="AL72" s="2"/>
      <c r="AM72" s="2"/>
      <c r="AN72" s="2"/>
    </row>
    <row r="73" spans="1:40" ht="15" hidden="1" customHeight="1">
      <c r="A73" s="492"/>
      <c r="B73" s="492"/>
      <c r="C73" s="492"/>
      <c r="D73" s="517"/>
      <c r="E73" s="517"/>
      <c r="F73" s="517"/>
      <c r="G73" s="517"/>
      <c r="H73" s="517"/>
      <c r="I73" s="517"/>
      <c r="J73" s="517"/>
      <c r="K73" s="517"/>
      <c r="L73" s="517"/>
      <c r="M73" s="517"/>
      <c r="N73" s="517"/>
      <c r="O73" s="2"/>
      <c r="P73" s="2"/>
      <c r="Q73" s="2"/>
      <c r="R73" s="2"/>
      <c r="S73" s="2"/>
      <c r="T73" s="2"/>
      <c r="U73" s="2"/>
      <c r="V73" s="2"/>
      <c r="W73" s="2"/>
      <c r="X73" s="2"/>
      <c r="Y73" s="2"/>
      <c r="Z73" s="2"/>
      <c r="AA73" s="2"/>
      <c r="AB73" s="2"/>
      <c r="AC73" s="2"/>
      <c r="AD73" s="2"/>
      <c r="AE73" s="2"/>
      <c r="AF73" s="2"/>
      <c r="AG73" s="2"/>
      <c r="AH73" s="2"/>
      <c r="AI73" s="2"/>
      <c r="AJ73" s="2"/>
      <c r="AK73" s="2"/>
      <c r="AL73" s="2"/>
      <c r="AM73" s="2"/>
      <c r="AN73" s="2"/>
    </row>
    <row r="74" spans="1:40" ht="15" hidden="1" customHeight="1">
      <c r="A74" s="492"/>
      <c r="B74" s="492"/>
      <c r="C74" s="492"/>
      <c r="D74" s="517"/>
      <c r="E74" s="517"/>
      <c r="F74" s="517"/>
      <c r="G74" s="517"/>
      <c r="H74" s="517"/>
      <c r="I74" s="517"/>
      <c r="J74" s="517"/>
      <c r="K74" s="517"/>
      <c r="L74" s="517"/>
      <c r="M74" s="517"/>
      <c r="N74" s="517"/>
      <c r="O74" s="2"/>
      <c r="P74" s="2"/>
      <c r="Q74" s="2"/>
      <c r="R74" s="2"/>
      <c r="S74" s="2"/>
      <c r="T74" s="2"/>
      <c r="U74" s="2"/>
      <c r="V74" s="2"/>
      <c r="W74" s="2"/>
      <c r="X74" s="2"/>
      <c r="Y74" s="2"/>
      <c r="Z74" s="2"/>
      <c r="AA74" s="2"/>
      <c r="AB74" s="2"/>
      <c r="AC74" s="2"/>
      <c r="AD74" s="2"/>
      <c r="AE74" s="2"/>
      <c r="AF74" s="2"/>
      <c r="AG74" s="2"/>
      <c r="AH74" s="2"/>
      <c r="AI74" s="2"/>
      <c r="AJ74" s="2"/>
      <c r="AK74" s="2"/>
      <c r="AL74" s="2"/>
      <c r="AM74" s="2"/>
      <c r="AN74" s="2"/>
    </row>
    <row r="75" spans="1:40" ht="15" hidden="1" customHeight="1">
      <c r="A75" s="492"/>
      <c r="B75" s="492"/>
      <c r="C75" s="492"/>
      <c r="D75" s="517"/>
      <c r="E75" s="517"/>
      <c r="F75" s="517"/>
      <c r="G75" s="517"/>
      <c r="H75" s="517"/>
      <c r="I75" s="517"/>
      <c r="J75" s="517"/>
      <c r="K75" s="517"/>
      <c r="L75" s="517"/>
      <c r="M75" s="517"/>
      <c r="N75" s="517"/>
      <c r="O75" s="2"/>
      <c r="P75" s="2"/>
      <c r="Q75" s="2"/>
      <c r="R75" s="2"/>
      <c r="S75" s="2"/>
      <c r="T75" s="2"/>
      <c r="U75" s="2"/>
      <c r="V75" s="2"/>
      <c r="W75" s="2"/>
      <c r="X75" s="2"/>
      <c r="Y75" s="2"/>
      <c r="Z75" s="2"/>
      <c r="AA75" s="2"/>
      <c r="AB75" s="2"/>
      <c r="AC75" s="2"/>
      <c r="AD75" s="2"/>
      <c r="AE75" s="2"/>
      <c r="AF75" s="2"/>
      <c r="AG75" s="2"/>
      <c r="AH75" s="2"/>
      <c r="AI75" s="2"/>
      <c r="AJ75" s="2"/>
      <c r="AK75" s="2"/>
      <c r="AL75" s="2"/>
      <c r="AM75" s="2"/>
      <c r="AN75" s="2"/>
    </row>
    <row r="76" spans="1:40" ht="15" hidden="1" customHeight="1">
      <c r="A76" s="492"/>
      <c r="B76" s="492"/>
      <c r="C76" s="492"/>
      <c r="D76" s="517"/>
      <c r="E76" s="517"/>
      <c r="F76" s="517"/>
      <c r="G76" s="517"/>
      <c r="H76" s="517"/>
      <c r="I76" s="517"/>
      <c r="J76" s="517"/>
      <c r="K76" s="517"/>
      <c r="L76" s="517"/>
      <c r="M76" s="517"/>
      <c r="N76" s="517"/>
      <c r="O76" s="2"/>
      <c r="P76" s="2"/>
      <c r="Q76" s="2"/>
      <c r="R76" s="2"/>
      <c r="S76" s="2"/>
      <c r="T76" s="2"/>
      <c r="U76" s="2"/>
      <c r="V76" s="2"/>
      <c r="W76" s="2"/>
      <c r="X76" s="2"/>
      <c r="Y76" s="2"/>
      <c r="Z76" s="2"/>
      <c r="AA76" s="2"/>
      <c r="AB76" s="2"/>
      <c r="AC76" s="2"/>
      <c r="AD76" s="2"/>
      <c r="AE76" s="2"/>
      <c r="AF76" s="2"/>
      <c r="AG76" s="2"/>
      <c r="AH76" s="2"/>
      <c r="AI76" s="2"/>
      <c r="AJ76" s="2"/>
      <c r="AK76" s="2"/>
      <c r="AL76" s="2"/>
      <c r="AM76" s="2"/>
      <c r="AN76" s="2"/>
    </row>
    <row r="77" spans="1:40" ht="15" hidden="1" customHeight="1">
      <c r="A77" s="492"/>
      <c r="B77" s="492"/>
      <c r="C77" s="492"/>
      <c r="D77" s="517"/>
      <c r="E77" s="517"/>
      <c r="F77" s="517"/>
      <c r="G77" s="517"/>
      <c r="H77" s="517"/>
      <c r="I77" s="517"/>
      <c r="J77" s="517"/>
      <c r="K77" s="517"/>
      <c r="L77" s="517"/>
      <c r="M77" s="517"/>
      <c r="N77" s="517"/>
      <c r="O77" s="2"/>
      <c r="P77" s="2"/>
      <c r="Q77" s="2"/>
      <c r="R77" s="2"/>
      <c r="S77" s="2"/>
      <c r="T77" s="2"/>
      <c r="U77" s="2"/>
      <c r="V77" s="2"/>
      <c r="W77" s="2"/>
      <c r="X77" s="2"/>
      <c r="Y77" s="2"/>
      <c r="Z77" s="2"/>
      <c r="AA77" s="2"/>
      <c r="AB77" s="2"/>
      <c r="AC77" s="2"/>
      <c r="AD77" s="2"/>
      <c r="AE77" s="2"/>
      <c r="AF77" s="2"/>
      <c r="AG77" s="2"/>
      <c r="AH77" s="2"/>
      <c r="AI77" s="2"/>
      <c r="AJ77" s="2"/>
      <c r="AK77" s="2"/>
      <c r="AL77" s="2"/>
      <c r="AM77" s="2"/>
      <c r="AN77" s="2"/>
    </row>
    <row r="78" spans="1:40" ht="15" hidden="1" customHeight="1">
      <c r="A78" s="492"/>
      <c r="B78" s="492"/>
      <c r="C78" s="492"/>
      <c r="D78" s="517"/>
      <c r="E78" s="517"/>
      <c r="F78" s="517"/>
      <c r="G78" s="517"/>
      <c r="H78" s="517"/>
      <c r="I78" s="517"/>
      <c r="J78" s="517"/>
      <c r="K78" s="517"/>
      <c r="L78" s="517"/>
      <c r="M78" s="517"/>
      <c r="N78" s="517"/>
      <c r="O78" s="2"/>
      <c r="P78" s="2"/>
      <c r="Q78" s="2"/>
      <c r="R78" s="2"/>
      <c r="S78" s="2"/>
      <c r="T78" s="2"/>
      <c r="U78" s="2"/>
      <c r="V78" s="2"/>
      <c r="W78" s="2"/>
      <c r="X78" s="2"/>
      <c r="Y78" s="2"/>
      <c r="Z78" s="2"/>
      <c r="AA78" s="2"/>
      <c r="AB78" s="2"/>
      <c r="AC78" s="2"/>
      <c r="AD78" s="2"/>
      <c r="AE78" s="2"/>
      <c r="AF78" s="2"/>
      <c r="AG78" s="2"/>
      <c r="AH78" s="2"/>
      <c r="AI78" s="2"/>
      <c r="AJ78" s="2"/>
      <c r="AK78" s="2"/>
      <c r="AL78" s="2"/>
      <c r="AM78" s="2"/>
      <c r="AN78" s="2"/>
    </row>
    <row r="79" spans="1:40" ht="15" hidden="1" customHeight="1">
      <c r="A79" s="492"/>
      <c r="B79" s="492"/>
      <c r="C79" s="492"/>
      <c r="D79" s="517"/>
      <c r="E79" s="517"/>
      <c r="F79" s="517"/>
      <c r="G79" s="517"/>
      <c r="H79" s="517"/>
      <c r="I79" s="517"/>
      <c r="J79" s="517"/>
      <c r="K79" s="517"/>
      <c r="L79" s="517"/>
      <c r="M79" s="517"/>
      <c r="N79" s="517"/>
      <c r="O79" s="2"/>
      <c r="P79" s="2"/>
      <c r="Q79" s="2"/>
      <c r="R79" s="2"/>
      <c r="S79" s="2"/>
      <c r="T79" s="2"/>
      <c r="U79" s="2"/>
      <c r="V79" s="2"/>
      <c r="W79" s="2"/>
      <c r="X79" s="2"/>
      <c r="Y79" s="2"/>
      <c r="Z79" s="2"/>
      <c r="AA79" s="2"/>
      <c r="AB79" s="2"/>
      <c r="AC79" s="2"/>
      <c r="AD79" s="2"/>
      <c r="AE79" s="2"/>
      <c r="AF79" s="2"/>
      <c r="AG79" s="2"/>
      <c r="AH79" s="2"/>
      <c r="AI79" s="2"/>
      <c r="AJ79" s="2"/>
      <c r="AK79" s="2"/>
      <c r="AL79" s="2"/>
      <c r="AM79" s="2"/>
      <c r="AN79" s="2"/>
    </row>
    <row r="80" spans="1:40" ht="15" hidden="1" customHeight="1">
      <c r="A80" s="492"/>
      <c r="B80" s="492"/>
      <c r="C80" s="492"/>
      <c r="D80" s="492"/>
      <c r="E80" s="492"/>
      <c r="F80" s="492"/>
      <c r="G80" s="492"/>
      <c r="H80" s="492"/>
      <c r="I80" s="492"/>
      <c r="J80" s="492"/>
      <c r="K80" s="492"/>
      <c r="L80" s="492"/>
      <c r="M80" s="492"/>
      <c r="N80" s="492"/>
    </row>
    <row r="81" spans="1:14">
      <c r="A81" s="492"/>
      <c r="B81" s="492"/>
      <c r="C81" s="492"/>
      <c r="D81" s="492"/>
      <c r="E81" s="492"/>
      <c r="F81" s="492"/>
      <c r="G81" s="492"/>
      <c r="H81" s="492"/>
      <c r="I81" s="492"/>
      <c r="J81" s="492"/>
      <c r="K81" s="492"/>
      <c r="L81" s="492"/>
      <c r="M81" s="492"/>
      <c r="N81" s="492"/>
    </row>
    <row r="82" spans="1:14">
      <c r="A82" s="492"/>
      <c r="B82" s="492"/>
      <c r="C82" s="492"/>
      <c r="D82" s="492"/>
      <c r="E82" s="492"/>
      <c r="F82" s="492"/>
      <c r="G82" s="492"/>
      <c r="H82" s="492"/>
      <c r="I82" s="492"/>
      <c r="J82" s="492"/>
      <c r="K82" s="492"/>
      <c r="L82" s="492"/>
      <c r="M82" s="492"/>
      <c r="N82" s="492"/>
    </row>
    <row r="83" spans="1:14">
      <c r="A83" s="492"/>
      <c r="B83" s="492"/>
      <c r="C83" s="492"/>
      <c r="D83" s="492"/>
      <c r="E83" s="492"/>
      <c r="F83" s="492"/>
      <c r="G83" s="492"/>
      <c r="H83" s="492"/>
      <c r="I83" s="492"/>
      <c r="J83" s="492"/>
      <c r="K83" s="492"/>
      <c r="L83" s="492"/>
      <c r="M83" s="492"/>
      <c r="N83" s="492"/>
    </row>
    <row r="84" spans="1:14">
      <c r="A84" s="492"/>
      <c r="B84" s="492"/>
      <c r="C84" s="492"/>
      <c r="D84" s="492"/>
      <c r="E84" s="492"/>
      <c r="F84" s="492"/>
      <c r="G84" s="492"/>
      <c r="H84" s="492"/>
      <c r="I84" s="492"/>
      <c r="J84" s="492"/>
      <c r="K84" s="492"/>
      <c r="L84" s="492"/>
      <c r="M84" s="492"/>
      <c r="N84" s="492"/>
    </row>
    <row r="85" spans="1:14">
      <c r="A85" s="492"/>
      <c r="B85" s="492"/>
      <c r="C85" s="492"/>
      <c r="D85" s="492"/>
      <c r="E85" s="492"/>
      <c r="F85" s="492"/>
      <c r="G85" s="492"/>
      <c r="H85" s="492"/>
      <c r="I85" s="492"/>
      <c r="J85" s="492"/>
      <c r="K85" s="492"/>
      <c r="L85" s="492"/>
      <c r="M85" s="492"/>
      <c r="N85" s="492"/>
    </row>
    <row r="86" spans="1:14">
      <c r="A86" s="492"/>
      <c r="B86" s="492"/>
      <c r="C86" s="492"/>
      <c r="D86" s="492"/>
      <c r="E86" s="492"/>
      <c r="F86" s="492"/>
      <c r="G86" s="492"/>
      <c r="H86" s="492"/>
      <c r="I86" s="492"/>
      <c r="J86" s="492"/>
      <c r="K86" s="492"/>
      <c r="L86" s="492"/>
      <c r="M86" s="492"/>
      <c r="N86" s="492"/>
    </row>
    <row r="87" spans="1:14">
      <c r="A87" s="492"/>
      <c r="B87" s="492"/>
      <c r="C87" s="492"/>
      <c r="D87" s="492"/>
      <c r="E87" s="492"/>
      <c r="F87" s="492"/>
      <c r="G87" s="492"/>
      <c r="H87" s="492"/>
      <c r="I87" s="492"/>
      <c r="J87" s="492"/>
      <c r="K87" s="492"/>
      <c r="L87" s="492"/>
      <c r="M87" s="492"/>
      <c r="N87" s="492"/>
    </row>
    <row r="88" spans="1:14">
      <c r="A88" s="492"/>
      <c r="B88" s="492"/>
      <c r="C88" s="492"/>
      <c r="D88" s="492"/>
      <c r="E88" s="492"/>
      <c r="F88" s="492"/>
      <c r="G88" s="492"/>
      <c r="H88" s="492"/>
      <c r="I88" s="492"/>
      <c r="J88" s="492"/>
      <c r="K88" s="492"/>
      <c r="L88" s="492"/>
      <c r="M88" s="492"/>
      <c r="N88" s="492"/>
    </row>
    <row r="89" spans="1:14">
      <c r="A89" s="492"/>
      <c r="B89" s="492"/>
      <c r="C89" s="492"/>
      <c r="D89" s="492"/>
      <c r="E89" s="492"/>
      <c r="F89" s="492"/>
      <c r="G89" s="492"/>
      <c r="H89" s="492"/>
      <c r="I89" s="492"/>
      <c r="J89" s="492"/>
      <c r="K89" s="492"/>
      <c r="L89" s="492"/>
      <c r="M89" s="492"/>
      <c r="N89" s="492"/>
    </row>
  </sheetData>
  <sheetProtection algorithmName="SHA-512" hashValue="B15lg93LN6s05itQRjOPZaL2aWoABwNH/abfQ09S2Yk6T1+nwec+9f6cSx8/hm2g7HC9SGoZF4DqS1G0jxDcmA==" saltValue="JTh/aao39sHuf4ZY6HKxIA==" spinCount="100000" sheet="1" autoFilter="0"/>
  <mergeCells count="20">
    <mergeCell ref="B32:M32"/>
    <mergeCell ref="B58:M58"/>
    <mergeCell ref="B40:M40"/>
    <mergeCell ref="B37:M37"/>
    <mergeCell ref="B41:M41"/>
    <mergeCell ref="B45:M45"/>
    <mergeCell ref="B48:M48"/>
    <mergeCell ref="B51:M51"/>
    <mergeCell ref="B54:M54"/>
    <mergeCell ref="B26:M26"/>
    <mergeCell ref="B29:M29"/>
    <mergeCell ref="B21:M21"/>
    <mergeCell ref="G23:J23"/>
    <mergeCell ref="B23:E23"/>
    <mergeCell ref="B9:M9"/>
    <mergeCell ref="B18:M18"/>
    <mergeCell ref="B22:M22"/>
    <mergeCell ref="E2:L4"/>
    <mergeCell ref="B15:M15"/>
    <mergeCell ref="B10:G10"/>
  </mergeCells>
  <conditionalFormatting sqref="D61:AN79">
    <cfRule type="colorScale" priority="1">
      <colorScale>
        <cfvo type="min"/>
        <cfvo type="max"/>
        <color rgb="FF63BE7B"/>
        <color rgb="FFFCFCFF"/>
      </colorScale>
    </cfRule>
  </conditionalFormatting>
  <hyperlinks>
    <hyperlink ref="B10" r:id="rId1" xr:uid="{83B0B801-2962-475F-BF72-F3BC623ABA69}"/>
  </hyperlinks>
  <pageMargins left="0.7" right="0.7" top="0.75" bottom="0.75" header="0.3" footer="0.3"/>
  <pageSetup paperSize="9" scale="56" fitToHeight="0" orientation="portrait" r:id="rId2"/>
  <rowBreaks count="2" manualBreakCount="2">
    <brk id="32" max="13" man="1"/>
    <brk id="52" max="13" man="1"/>
  </rowBreak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S68"/>
  <sheetViews>
    <sheetView workbookViewId="0">
      <selection activeCell="E27" sqref="E27"/>
    </sheetView>
  </sheetViews>
  <sheetFormatPr baseColWidth="10" defaultColWidth="0" defaultRowHeight="14.45" customHeight="1" zeroHeight="1"/>
  <cols>
    <col min="1" max="1" width="4.7109375" customWidth="1"/>
    <col min="2" max="2" width="8.28515625" customWidth="1"/>
    <col min="3" max="3" width="24.85546875" customWidth="1"/>
    <col min="4" max="4" width="7.85546875" style="23" hidden="1" customWidth="1"/>
    <col min="5" max="5" width="12.28515625" customWidth="1"/>
    <col min="6" max="8" width="14.42578125" customWidth="1"/>
    <col min="9" max="10" width="11.42578125" customWidth="1"/>
    <col min="11" max="11" width="12.7109375" bestFit="1" customWidth="1"/>
    <col min="12" max="12" width="5.28515625" customWidth="1"/>
    <col min="13" max="16384" width="11.42578125" hidden="1"/>
  </cols>
  <sheetData>
    <row r="1" spans="1:19" ht="15.75" thickBot="1">
      <c r="A1" s="27" t="str">
        <f ca="1">MID(CELL("dateiname",A1),SEARCH("]",CELL("dateiname",A1))+1,31)</f>
        <v>TF (7)</v>
      </c>
    </row>
    <row r="2" spans="1:19" ht="15" customHeight="1">
      <c r="B2" s="389"/>
      <c r="C2" s="390"/>
      <c r="D2" s="390"/>
      <c r="E2" s="666" t="str">
        <f>_Dok_Titel</f>
        <v>Planungshilfe
Solar- und Photovoltaikanlagen auf Schrägdächern (Art. 77 Abs. 3 und 4 BZR)
Formular-Release 2.5</v>
      </c>
      <c r="F2" s="666"/>
      <c r="G2" s="666"/>
      <c r="H2" s="666"/>
      <c r="I2" s="666"/>
      <c r="J2" s="666"/>
      <c r="K2" s="391"/>
    </row>
    <row r="3" spans="1:19" ht="15" customHeight="1">
      <c r="B3" s="392"/>
      <c r="C3" s="393"/>
      <c r="D3" s="393"/>
      <c r="E3" s="667"/>
      <c r="F3" s="667"/>
      <c r="G3" s="667"/>
      <c r="H3" s="667"/>
      <c r="I3" s="667"/>
      <c r="J3" s="667"/>
      <c r="K3" s="394"/>
    </row>
    <row r="4" spans="1:19" ht="34.15" customHeight="1" thickBot="1">
      <c r="B4" s="395"/>
      <c r="C4" s="396"/>
      <c r="D4" s="396"/>
      <c r="E4" s="668"/>
      <c r="F4" s="668"/>
      <c r="G4" s="668"/>
      <c r="H4" s="668"/>
      <c r="I4" s="668"/>
      <c r="J4" s="668"/>
      <c r="K4" s="397"/>
    </row>
    <row r="5" spans="1:19" ht="15.75" thickBot="1"/>
    <row r="6" spans="1:19" s="21" customFormat="1" ht="21.75" thickBot="1">
      <c r="B6" s="18" t="str">
        <f ca="1">"Zusammenstellung Kennwerte Teilfläche "&amp;MID(CELL("dateiname",A1),SEARCH("]",CELL("dateiname",A1))+1,31)</f>
        <v>Zusammenstellung Kennwerte Teilfläche TF (7)</v>
      </c>
      <c r="C6" s="19"/>
      <c r="D6" s="48"/>
      <c r="E6" s="19"/>
      <c r="F6" s="19"/>
      <c r="G6" s="19"/>
      <c r="H6" s="19"/>
      <c r="I6" s="19"/>
      <c r="J6" s="19"/>
      <c r="K6" s="20"/>
      <c r="O6"/>
      <c r="P6"/>
      <c r="Q6"/>
      <c r="R6"/>
      <c r="S6"/>
    </row>
    <row r="7" spans="1:19" ht="15.75" thickBot="1"/>
    <row r="8" spans="1:19" s="21" customFormat="1" ht="21.75" thickBot="1">
      <c r="B8" s="18" t="s">
        <v>26</v>
      </c>
      <c r="C8" s="19"/>
      <c r="D8" s="48"/>
      <c r="E8" s="19"/>
      <c r="F8" s="19"/>
      <c r="G8" s="19"/>
      <c r="H8" s="19"/>
      <c r="I8" s="19"/>
      <c r="J8" s="19"/>
      <c r="K8" s="20"/>
      <c r="O8"/>
      <c r="P8"/>
      <c r="Q8"/>
      <c r="R8"/>
      <c r="S8"/>
    </row>
    <row r="9" spans="1:19" s="28" customFormat="1" ht="19.899999999999999" customHeight="1">
      <c r="B9" s="551" t="str">
        <f>Bericht!B7</f>
        <v>Projektname</v>
      </c>
      <c r="C9" s="552"/>
      <c r="D9" s="415"/>
      <c r="E9" s="669">
        <f>_Projektname</f>
        <v>0</v>
      </c>
      <c r="F9" s="669"/>
      <c r="G9" s="426"/>
      <c r="H9" s="649" t="str">
        <f>Bericht!J7</f>
        <v>Netzversorger:</v>
      </c>
      <c r="I9" s="649"/>
      <c r="J9" s="649"/>
      <c r="K9" s="138" t="str">
        <f>_Netzversorger</f>
        <v>ckw</v>
      </c>
    </row>
    <row r="10" spans="1:19" s="28" customFormat="1" ht="19.899999999999999" customHeight="1">
      <c r="B10" s="553" t="str">
        <f>Bericht!B8</f>
        <v>Adresse</v>
      </c>
      <c r="C10" s="554"/>
      <c r="D10" s="416"/>
      <c r="E10" s="670">
        <f>_Adresse</f>
        <v>0</v>
      </c>
      <c r="F10" s="670"/>
      <c r="G10" s="427"/>
      <c r="H10" s="650" t="str">
        <f>Bericht!J8</f>
        <v>Geplantes Datum Fertigstellung:</v>
      </c>
      <c r="I10" s="650"/>
      <c r="J10" s="650"/>
      <c r="K10" s="139">
        <f>_Datum_IBS</f>
        <v>0</v>
      </c>
      <c r="L10" s="410"/>
    </row>
    <row r="11" spans="1:19" s="28" customFormat="1" ht="19.899999999999999" customHeight="1">
      <c r="B11" s="553" t="str">
        <f>Bericht!B9</f>
        <v>PLZ Ort</v>
      </c>
      <c r="C11" s="554"/>
      <c r="D11" s="416"/>
      <c r="E11" s="670">
        <f>_PLZ</f>
        <v>0</v>
      </c>
      <c r="F11" s="670"/>
      <c r="G11" s="427"/>
      <c r="H11" s="650" t="s">
        <v>277</v>
      </c>
      <c r="I11" s="650"/>
      <c r="J11" s="650"/>
      <c r="K11" s="409">
        <f>_Letzte_REV</f>
        <v>46042</v>
      </c>
      <c r="L11" s="411"/>
    </row>
    <row r="12" spans="1:19" s="28" customFormat="1" ht="19.899999999999999" customHeight="1" thickBot="1">
      <c r="B12" s="680" t="s">
        <v>138</v>
      </c>
      <c r="C12" s="681"/>
      <c r="D12" s="31"/>
      <c r="E12" s="556">
        <f>Bericht!D10</f>
        <v>0</v>
      </c>
      <c r="F12" s="556"/>
      <c r="G12" s="428"/>
      <c r="H12" s="31" t="s">
        <v>278</v>
      </c>
      <c r="I12" s="31"/>
      <c r="J12" s="31"/>
      <c r="K12" s="358">
        <f>_Nächste_REV</f>
        <v>46357</v>
      </c>
      <c r="L12" s="411"/>
    </row>
    <row r="13" spans="1:19" ht="15.75" thickBot="1"/>
    <row r="14" spans="1:19" s="21" customFormat="1" ht="21.75" thickBot="1">
      <c r="B14" s="18" t="s">
        <v>75</v>
      </c>
      <c r="C14" s="19"/>
      <c r="D14" s="48"/>
      <c r="E14" s="19"/>
      <c r="F14" s="19"/>
      <c r="G14" s="19"/>
      <c r="H14" s="19"/>
      <c r="I14" s="19"/>
      <c r="J14" s="19"/>
      <c r="K14" s="20"/>
      <c r="O14"/>
      <c r="P14"/>
      <c r="Q14"/>
      <c r="R14"/>
      <c r="S14"/>
    </row>
    <row r="15" spans="1:19" s="28" customFormat="1" ht="19.899999999999999" customHeight="1">
      <c r="B15" s="40" t="s">
        <v>93</v>
      </c>
      <c r="C15" s="41"/>
      <c r="D15" s="42" t="s">
        <v>155</v>
      </c>
      <c r="E15" s="679"/>
      <c r="F15" s="679"/>
      <c r="G15" s="41"/>
      <c r="H15" s="41"/>
      <c r="I15" s="41"/>
      <c r="J15" s="41"/>
      <c r="K15" s="39"/>
    </row>
    <row r="16" spans="1:19" s="28" customFormat="1" ht="19.899999999999999" customHeight="1">
      <c r="B16" s="682" t="s">
        <v>355</v>
      </c>
      <c r="C16" s="616"/>
      <c r="D16" s="66" t="s">
        <v>366</v>
      </c>
      <c r="E16" s="489" t="s">
        <v>358</v>
      </c>
      <c r="F16" s="29"/>
      <c r="G16" s="73" t="s">
        <v>356</v>
      </c>
      <c r="H16" s="73"/>
      <c r="I16" s="73"/>
      <c r="J16" s="73"/>
      <c r="K16" s="74"/>
      <c r="M16" s="28" t="s">
        <v>357</v>
      </c>
    </row>
    <row r="17" spans="2:19" s="28" customFormat="1" ht="19.899999999999999" customHeight="1">
      <c r="B17" s="72" t="s">
        <v>96</v>
      </c>
      <c r="C17" s="73"/>
      <c r="D17" s="66" t="s">
        <v>129</v>
      </c>
      <c r="E17" s="270"/>
      <c r="F17" s="65" t="s">
        <v>127</v>
      </c>
      <c r="G17" s="73" t="s">
        <v>234</v>
      </c>
      <c r="H17" s="73"/>
      <c r="I17" s="73"/>
      <c r="J17" s="73"/>
      <c r="K17" s="74"/>
      <c r="M17" s="28" t="s">
        <v>358</v>
      </c>
    </row>
    <row r="18" spans="2:19" s="28" customFormat="1" ht="19.899999999999999" customHeight="1">
      <c r="B18" s="33" t="s">
        <v>94</v>
      </c>
      <c r="C18" s="35"/>
      <c r="D18" s="34" t="s">
        <v>37</v>
      </c>
      <c r="E18" s="271"/>
      <c r="F18" s="29" t="s">
        <v>54</v>
      </c>
      <c r="G18" s="35" t="s">
        <v>67</v>
      </c>
      <c r="H18" s="35"/>
      <c r="I18" s="35"/>
      <c r="J18" s="35"/>
      <c r="K18" s="30"/>
    </row>
    <row r="19" spans="2:19" s="28" customFormat="1" ht="19.899999999999999" customHeight="1" thickBot="1">
      <c r="B19" s="36" t="s">
        <v>95</v>
      </c>
      <c r="C19" s="37"/>
      <c r="D19" s="71" t="s">
        <v>38</v>
      </c>
      <c r="E19" s="272"/>
      <c r="F19" s="31" t="s">
        <v>54</v>
      </c>
      <c r="G19" s="37" t="s">
        <v>68</v>
      </c>
      <c r="H19" s="37"/>
      <c r="I19" s="37"/>
      <c r="J19" s="37"/>
      <c r="K19" s="32"/>
    </row>
    <row r="20" spans="2:19" s="23" customFormat="1" ht="15" hidden="1" customHeight="1">
      <c r="C20" s="23" t="s">
        <v>74</v>
      </c>
      <c r="E20" s="23">
        <f>RADIANS(E18)</f>
        <v>0</v>
      </c>
    </row>
    <row r="21" spans="2:19" s="23" customFormat="1" ht="15" hidden="1">
      <c r="C21" s="23" t="s">
        <v>71</v>
      </c>
      <c r="E21" s="23">
        <f>-RADIANS(E19)</f>
        <v>0</v>
      </c>
    </row>
    <row r="22" spans="2:19" ht="15.75" thickBot="1"/>
    <row r="23" spans="2:19" s="21" customFormat="1" ht="21.75" thickBot="1">
      <c r="B23" s="18" t="s">
        <v>50</v>
      </c>
      <c r="C23" s="19"/>
      <c r="D23" s="48"/>
      <c r="E23" s="19"/>
      <c r="F23" s="19"/>
      <c r="G23" s="19"/>
      <c r="H23" s="19"/>
      <c r="I23" s="19"/>
      <c r="J23" s="19"/>
      <c r="K23" s="20"/>
      <c r="O23"/>
      <c r="P23"/>
      <c r="Q23"/>
      <c r="R23"/>
      <c r="S23"/>
    </row>
    <row r="24" spans="2:19" s="28" customFormat="1" ht="19.899999999999999" customHeight="1">
      <c r="B24" s="40" t="s">
        <v>51</v>
      </c>
      <c r="C24" s="41"/>
      <c r="D24" s="42" t="s">
        <v>76</v>
      </c>
      <c r="E24" s="687" t="s">
        <v>105</v>
      </c>
      <c r="F24" s="687"/>
      <c r="G24" s="41" t="s">
        <v>104</v>
      </c>
      <c r="H24" s="41" t="s">
        <v>105</v>
      </c>
      <c r="I24" s="41"/>
      <c r="J24" s="41"/>
      <c r="K24" s="39"/>
    </row>
    <row r="25" spans="2:19" s="28" customFormat="1" ht="19.899999999999999" customHeight="1">
      <c r="B25" s="72" t="s">
        <v>229</v>
      </c>
      <c r="C25" s="73"/>
      <c r="D25" s="66" t="s">
        <v>235</v>
      </c>
      <c r="E25" s="485" t="str">
        <f>IF((ABS($E18)+_AbweichungNord)&gt;180,"Satiniert","Standard")</f>
        <v>Standard</v>
      </c>
      <c r="F25" s="485"/>
      <c r="G25" s="73"/>
      <c r="H25" s="73"/>
      <c r="I25" s="73"/>
      <c r="J25" s="73"/>
      <c r="K25" s="74"/>
    </row>
    <row r="26" spans="2:19" s="28" customFormat="1" ht="19.899999999999999" customHeight="1">
      <c r="B26" s="33" t="s">
        <v>49</v>
      </c>
      <c r="C26" s="35"/>
      <c r="D26" s="34" t="s">
        <v>40</v>
      </c>
      <c r="E26" s="29">
        <f>IF((ABS($E18)+_AbweichungNord)&gt;180,_Modulleistung_Satin,_Modulleistung_Standard)</f>
        <v>485</v>
      </c>
      <c r="F26" s="29" t="s">
        <v>58</v>
      </c>
      <c r="G26" s="35" t="str">
        <f ca="1">"Modulleistung definiert im Tab "&amp;Datengrundlage!A1&amp;""</f>
        <v>Modulleistung definiert im Tab Datengrundlage</v>
      </c>
      <c r="H26" s="35"/>
      <c r="I26" s="35"/>
      <c r="J26" s="35"/>
      <c r="K26" s="30"/>
    </row>
    <row r="27" spans="2:19" s="28" customFormat="1" ht="19.899999999999999" customHeight="1">
      <c r="B27" s="33" t="s">
        <v>196</v>
      </c>
      <c r="C27" s="35"/>
      <c r="D27" s="34" t="s">
        <v>97</v>
      </c>
      <c r="E27" s="273"/>
      <c r="F27" s="29" t="s">
        <v>99</v>
      </c>
      <c r="G27" s="35" t="s">
        <v>202</v>
      </c>
      <c r="H27" s="35"/>
      <c r="I27" s="35"/>
      <c r="J27" s="35"/>
      <c r="K27" s="30"/>
    </row>
    <row r="28" spans="2:19" s="28" customFormat="1" ht="19.899999999999999" customHeight="1" thickBot="1">
      <c r="B28" s="36" t="s">
        <v>195</v>
      </c>
      <c r="C28" s="37"/>
      <c r="D28" s="71" t="s">
        <v>154</v>
      </c>
      <c r="E28" s="313">
        <f>E27</f>
        <v>0</v>
      </c>
      <c r="F28" s="31" t="s">
        <v>99</v>
      </c>
      <c r="G28" s="37" t="s">
        <v>203</v>
      </c>
      <c r="H28" s="37"/>
      <c r="I28" s="37"/>
      <c r="J28" s="37"/>
      <c r="K28" s="32"/>
    </row>
    <row r="29" spans="2:19" ht="15.75" thickBot="1"/>
    <row r="30" spans="2:19" s="21" customFormat="1" ht="21.75" thickBot="1">
      <c r="B30" s="18" t="s">
        <v>281</v>
      </c>
      <c r="C30" s="19"/>
      <c r="D30" s="48"/>
      <c r="E30" s="19"/>
      <c r="F30" s="19"/>
      <c r="G30" s="19"/>
      <c r="H30" s="19"/>
      <c r="I30" s="19"/>
      <c r="J30" s="19"/>
      <c r="K30" s="20"/>
      <c r="O30"/>
      <c r="P30"/>
      <c r="Q30"/>
      <c r="R30"/>
      <c r="S30"/>
    </row>
    <row r="31" spans="2:19" s="28" customFormat="1" ht="19.899999999999999" customHeight="1">
      <c r="B31" s="40" t="s">
        <v>120</v>
      </c>
      <c r="C31" s="41"/>
      <c r="D31" s="42"/>
      <c r="E31" s="76">
        <f>_Spez_Ertrag_Standort</f>
        <v>900</v>
      </c>
      <c r="F31" s="75" t="s">
        <v>123</v>
      </c>
      <c r="G31" s="41" t="str">
        <f>"Spez. Ertrag am Standort"</f>
        <v>Spez. Ertrag am Standort</v>
      </c>
      <c r="H31" s="41"/>
      <c r="I31" s="41"/>
      <c r="J31" s="41"/>
      <c r="K31" s="39"/>
    </row>
    <row r="32" spans="2:19" s="28" customFormat="1" ht="19.899999999999999" customHeight="1">
      <c r="B32" s="33" t="s">
        <v>119</v>
      </c>
      <c r="C32" s="35"/>
      <c r="D32" s="34"/>
      <c r="E32" s="77" cm="1">
        <f t="array" ref="E32">INDEX(_Faktor_Ausrichtung,ROUND(((E19/_RasterNeigung))+1,0),ROUND((((E18)/_RasterAzimut))+180/_RasterAzimut+1,0),1)</f>
        <v>1</v>
      </c>
      <c r="F32" s="29"/>
      <c r="G32" s="35" t="s">
        <v>115</v>
      </c>
      <c r="H32" s="35"/>
      <c r="I32" s="35"/>
      <c r="J32" s="35"/>
      <c r="K32" s="30"/>
    </row>
    <row r="33" spans="2:19" s="44" customFormat="1" ht="19.899999999999999" hidden="1" customHeight="1">
      <c r="B33" s="43" t="s">
        <v>121</v>
      </c>
      <c r="C33" s="34"/>
      <c r="D33" s="34"/>
      <c r="E33" s="47">
        <f>E31*E32</f>
        <v>900</v>
      </c>
      <c r="F33" s="45" t="s">
        <v>123</v>
      </c>
      <c r="G33" s="34" t="s">
        <v>116</v>
      </c>
      <c r="H33" s="34"/>
      <c r="I33" s="34"/>
      <c r="J33" s="34"/>
      <c r="K33" s="46"/>
    </row>
    <row r="34" spans="2:19" s="28" customFormat="1" ht="19.899999999999999" customHeight="1">
      <c r="B34" s="33" t="s">
        <v>148</v>
      </c>
      <c r="C34" s="35"/>
      <c r="D34" s="34" t="s">
        <v>151</v>
      </c>
      <c r="E34" s="314"/>
      <c r="F34" s="29" t="s">
        <v>123</v>
      </c>
      <c r="G34" s="35" t="s">
        <v>117</v>
      </c>
      <c r="H34" s="35"/>
      <c r="I34" s="35"/>
      <c r="J34" s="35"/>
      <c r="K34" s="30"/>
    </row>
    <row r="35" spans="2:19" s="28" customFormat="1" ht="19.899999999999999" customHeight="1" thickBot="1">
      <c r="B35" s="36" t="s">
        <v>122</v>
      </c>
      <c r="C35" s="37"/>
      <c r="D35" s="71" t="s">
        <v>77</v>
      </c>
      <c r="E35" s="78">
        <f>IF(ISNUMBER(E34),E34,E33)</f>
        <v>900</v>
      </c>
      <c r="F35" s="31" t="s">
        <v>123</v>
      </c>
      <c r="G35" s="37" t="s">
        <v>118</v>
      </c>
      <c r="H35" s="37"/>
      <c r="I35" s="37"/>
      <c r="J35" s="37"/>
      <c r="K35" s="32"/>
    </row>
    <row r="36" spans="2:19" ht="15.75" thickBot="1"/>
    <row r="37" spans="2:19" s="21" customFormat="1" ht="21.75" thickBot="1">
      <c r="B37" s="18" t="s">
        <v>350</v>
      </c>
      <c r="C37" s="19"/>
      <c r="D37" s="48"/>
      <c r="E37" s="19"/>
      <c r="F37" s="19"/>
      <c r="G37" s="19"/>
      <c r="H37" s="19"/>
      <c r="I37" s="19"/>
      <c r="J37" s="19"/>
      <c r="K37" s="20"/>
      <c r="O37"/>
      <c r="P37"/>
      <c r="Q37"/>
      <c r="R37"/>
      <c r="S37"/>
    </row>
    <row r="38" spans="2:19" s="28" customFormat="1" ht="19.899999999999999" customHeight="1">
      <c r="B38" s="40" t="s">
        <v>351</v>
      </c>
      <c r="C38" s="41"/>
      <c r="D38" s="42" t="s">
        <v>365</v>
      </c>
      <c r="E38" s="76">
        <f>IF(AND(E19&gt;=_Neigungswinkel_für_NB_Bund,E19&lt;=90),E27*E26/1000*_Neigungswinkelbonus_Bund,0)</f>
        <v>0</v>
      </c>
      <c r="F38" s="483" t="s">
        <v>353</v>
      </c>
      <c r="G38" s="41"/>
      <c r="H38" s="76">
        <f>IF(AND(E19&gt;=_Neigungswinkel_für_NB_Bund,E19&lt;=90),E28*E26/1000*_Neigungswinkelbonus_Bund,0)</f>
        <v>0</v>
      </c>
      <c r="I38" s="41" t="s">
        <v>354</v>
      </c>
      <c r="J38" s="41"/>
      <c r="K38" s="39"/>
    </row>
    <row r="39" spans="2:19" s="28" customFormat="1" ht="19.899999999999999" customHeight="1">
      <c r="B39" s="33" t="s">
        <v>359</v>
      </c>
      <c r="C39" s="35"/>
      <c r="D39" s="34" t="s">
        <v>364</v>
      </c>
      <c r="E39" s="482">
        <f>IFERROR(IF(AND(E16=M16,E27*E26/1000&gt;=_Schwelle_PPBonus),E27*E26/1000*_Parkplatzbonus_pronovo,0),0)</f>
        <v>0</v>
      </c>
      <c r="F39" s="29" t="s">
        <v>353</v>
      </c>
      <c r="G39" s="35"/>
      <c r="H39" s="482">
        <f>IFERROR(IF(AND(E16=M16,E28*E26/1000&gt;=_Schwelle_PPBonus),E28*E26/1000*_Parkplatzbonus_pronovo,0),0)</f>
        <v>0</v>
      </c>
      <c r="I39" s="35" t="s">
        <v>354</v>
      </c>
      <c r="J39" s="35"/>
      <c r="K39" s="30"/>
    </row>
    <row r="40" spans="2:19" s="28" customFormat="1" ht="19.899999999999999" customHeight="1">
      <c r="B40" s="33" t="s">
        <v>352</v>
      </c>
      <c r="C40" s="35"/>
      <c r="D40" s="34" t="s">
        <v>362</v>
      </c>
      <c r="E40" s="482">
        <f>IFERROR(IF(AND(E19&gt;=_Neigungswinkel_für_NB_Bund,E19&lt;=90),E27*_Modullänge_Standard*_Modulbreite_Standard*_ZuschlagSteil_Stadt,0),0)</f>
        <v>0</v>
      </c>
      <c r="F40" s="29" t="s">
        <v>353</v>
      </c>
      <c r="G40" s="35"/>
      <c r="H40" s="482">
        <f>IFERROR(IF(AND(E19&gt;=_Neigungswinkel_für_NB_Bund,E19&lt;=90),E28*_Modullänge_Standard*_Modulbreite_Standard*_ZuschlagSteil_Stadt,0),0)</f>
        <v>0</v>
      </c>
      <c r="I40" s="35" t="s">
        <v>354</v>
      </c>
      <c r="J40" s="35"/>
      <c r="K40" s="30"/>
    </row>
    <row r="41" spans="2:19" s="28" customFormat="1" ht="19.899999999999999" customHeight="1" thickBot="1">
      <c r="B41" s="36" t="s">
        <v>337</v>
      </c>
      <c r="C41" s="37"/>
      <c r="D41" s="71" t="s">
        <v>363</v>
      </c>
      <c r="E41" s="78">
        <f>IF(AND((ABS($E18)+_AbweichungNord)&gt;=180,E19&lt;_Neigungswinkel_für_NB_Bund),E27*E26/1000*_ZuschlagNord_Stadt,0)</f>
        <v>0</v>
      </c>
      <c r="F41" s="31" t="s">
        <v>353</v>
      </c>
      <c r="G41" s="37"/>
      <c r="H41" s="78">
        <f>IF(AND((ABS($E18)+_AbweichungNord)&gt;=180,E19&lt;_Neigungswinkel_für_NB_Bund),E28*E26/1000*_ZuschlagNord_Stadt,0)</f>
        <v>0</v>
      </c>
      <c r="I41" s="37" t="s">
        <v>354</v>
      </c>
      <c r="J41" s="37"/>
      <c r="K41" s="32"/>
    </row>
    <row r="42" spans="2:19" ht="15.75" thickBot="1"/>
    <row r="43" spans="2:19" s="21" customFormat="1" ht="21.75" thickBot="1">
      <c r="B43" s="18" t="s">
        <v>189</v>
      </c>
      <c r="C43" s="19"/>
      <c r="D43" s="48"/>
      <c r="E43" s="19"/>
      <c r="F43" s="19"/>
      <c r="G43" s="19"/>
      <c r="H43" s="19"/>
      <c r="I43" s="19"/>
      <c r="J43" s="19"/>
      <c r="K43" s="20"/>
      <c r="O43"/>
      <c r="P43"/>
      <c r="Q43"/>
      <c r="R43"/>
      <c r="S43"/>
    </row>
    <row r="44" spans="2:19" s="23" customFormat="1" ht="15" hidden="1">
      <c r="B44" s="79"/>
      <c r="D44" s="23" t="s">
        <v>84</v>
      </c>
      <c r="F44" s="23">
        <v>-90</v>
      </c>
      <c r="G44" s="23">
        <v>-180</v>
      </c>
      <c r="H44" s="23">
        <v>90</v>
      </c>
      <c r="K44" s="80"/>
    </row>
    <row r="45" spans="2:19" s="23" customFormat="1" ht="15" hidden="1">
      <c r="B45" s="79"/>
      <c r="D45" s="23" t="s">
        <v>69</v>
      </c>
      <c r="F45" s="81">
        <f>RADIANS(F44)</f>
        <v>-1.5707963267948966</v>
      </c>
      <c r="G45" s="81">
        <f t="shared" ref="G45:H45" si="0">RADIANS(G44)</f>
        <v>-3.1415926535897931</v>
      </c>
      <c r="H45" s="81">
        <f t="shared" si="0"/>
        <v>1.5707963267948966</v>
      </c>
      <c r="K45" s="80"/>
    </row>
    <row r="46" spans="2:19" s="23" customFormat="1" ht="15" hidden="1">
      <c r="B46" s="79"/>
      <c r="D46" s="23" t="s">
        <v>70</v>
      </c>
      <c r="F46" s="23">
        <v>1</v>
      </c>
      <c r="G46" s="23">
        <v>3</v>
      </c>
      <c r="H46" s="23">
        <v>1</v>
      </c>
      <c r="K46" s="80"/>
    </row>
    <row r="47" spans="2:19" s="23" customFormat="1" ht="15" hidden="1">
      <c r="B47" s="79"/>
      <c r="D47" s="23" t="s">
        <v>85</v>
      </c>
      <c r="F47" s="82">
        <f>$F$46*SIN(ATAN(1/$F$46))/SIN(ASIN(SIN($E$21)*COS($F$45-PI()+$E$20))+ATAN(1/$F$46))</f>
        <v>1</v>
      </c>
      <c r="G47" s="82">
        <f>$G$46*SIN(ATAN(1/$G$46))/SIN(ASIN(SIN(-$E$21)*COS($G$45-PI()+$E$20))+ATAN(1/$G$46))</f>
        <v>3</v>
      </c>
      <c r="H47" s="82">
        <f>$H$46*SIN(ATAN(1/$H$46))/SIN(ASIN(SIN($E$21)*COS($H$45-PI()+$E$20))+ATAN(1/$H$46))</f>
        <v>1</v>
      </c>
      <c r="K47" s="80"/>
    </row>
    <row r="48" spans="2:19" s="23" customFormat="1" ht="15" hidden="1">
      <c r="B48" s="79"/>
      <c r="D48" s="23" t="s">
        <v>72</v>
      </c>
      <c r="F48" s="81">
        <f>ASIN(SIN($E$21)*COS(F45-$E$20))</f>
        <v>0</v>
      </c>
      <c r="G48" s="81">
        <f>ASIN(SIN($E$21)*COS(G45-$E$20))</f>
        <v>0</v>
      </c>
      <c r="H48" s="81">
        <f>ASIN(SIN($E$21)*COS(H45-$E$20))</f>
        <v>0</v>
      </c>
      <c r="K48" s="80"/>
    </row>
    <row r="49" spans="2:11" s="23" customFormat="1" ht="15" hidden="1">
      <c r="B49" s="79"/>
      <c r="D49" s="23" t="s">
        <v>73</v>
      </c>
      <c r="F49" s="83">
        <f>F48*180/PI()</f>
        <v>0</v>
      </c>
      <c r="G49" s="83">
        <f t="shared" ref="G49:H49" si="1">G48*180/PI()</f>
        <v>0</v>
      </c>
      <c r="H49" s="83">
        <f t="shared" si="1"/>
        <v>0</v>
      </c>
      <c r="K49" s="80"/>
    </row>
    <row r="50" spans="2:11" s="262" customFormat="1" ht="59.45" customHeight="1">
      <c r="B50" s="684" t="str">
        <f>"Zum Dachrand, sowie um Dachaufbauten wie Fenster, Lukarnen, Kamine, Lüftungsrohre etc. dürfen Abstände von "&amp;_Modul_Randabstand&amp;" m berücksichtigt werden. Die Verschattungsabstände durch hohe Objekte können zudem gemäss Kallkulation nach untenstehender Tabelle berücksichtigt werden. (Abstände auf der Dachfläche in die entsprechende Himmelsrichtung)"</f>
        <v>Zum Dachrand, sowie um Dachaufbauten wie Fenster, Lukarnen, Kamine, Lüftungsrohre etc. dürfen Abstände von 0.2 m berücksichtigt werden. Die Verschattungsabstände durch hohe Objekte können zudem gemäss Kallkulation nach untenstehender Tabelle berücksichtigt werden. (Abstände auf der Dachfläche in die entsprechende Himmelsrichtung)</v>
      </c>
      <c r="C50" s="685"/>
      <c r="D50" s="685"/>
      <c r="E50" s="685"/>
      <c r="F50" s="685"/>
      <c r="G50" s="685"/>
      <c r="H50" s="685"/>
      <c r="I50" s="685"/>
      <c r="J50" s="685"/>
      <c r="K50" s="686"/>
    </row>
    <row r="51" spans="2:11" s="28" customFormat="1" ht="19.899999999999999" customHeight="1">
      <c r="B51" s="49"/>
      <c r="C51" s="50"/>
      <c r="D51" s="51"/>
      <c r="E51" s="84"/>
      <c r="F51" s="688" t="s">
        <v>87</v>
      </c>
      <c r="G51" s="689"/>
      <c r="H51" s="690"/>
      <c r="K51" s="86"/>
    </row>
    <row r="52" spans="2:11" s="28" customFormat="1" ht="19.899999999999999" customHeight="1">
      <c r="B52" s="49" t="s">
        <v>91</v>
      </c>
      <c r="C52" s="50" t="s">
        <v>20</v>
      </c>
      <c r="D52" s="51"/>
      <c r="E52" s="87" t="s">
        <v>114</v>
      </c>
      <c r="F52" s="85" t="s">
        <v>88</v>
      </c>
      <c r="G52" s="85" t="s">
        <v>89</v>
      </c>
      <c r="H52" s="85" t="s">
        <v>90</v>
      </c>
      <c r="K52" s="86"/>
    </row>
    <row r="53" spans="2:11" s="28" customFormat="1" ht="19.899999999999999" customHeight="1">
      <c r="B53" s="88" t="s">
        <v>92</v>
      </c>
      <c r="C53" s="89"/>
      <c r="D53" s="90"/>
      <c r="E53" s="91" t="s">
        <v>86</v>
      </c>
      <c r="F53" s="91" t="s">
        <v>86</v>
      </c>
      <c r="G53" s="91" t="s">
        <v>86</v>
      </c>
      <c r="H53" s="91" t="s">
        <v>86</v>
      </c>
      <c r="I53" s="92"/>
      <c r="J53" s="92"/>
      <c r="K53" s="93"/>
    </row>
    <row r="54" spans="2:11" s="28" customFormat="1" ht="19.899999999999999" customHeight="1">
      <c r="B54" s="94">
        <v>1</v>
      </c>
      <c r="C54" s="315"/>
      <c r="D54" s="315"/>
      <c r="E54" s="316"/>
      <c r="F54" s="95" t="str">
        <f t="shared" ref="F54:F65" si="2">IF(ISNUMBER($E54),$E54*IF($F$47&gt;0,MIN($F$46:$F$47),MAX($F$46:$F$47)),"")</f>
        <v/>
      </c>
      <c r="G54" s="95" t="str">
        <f t="shared" ref="G54:G65" si="3">IF(ISNUMBER($E54),$E54*IF($G$47&gt;0,MIN($G$46:$G$47),MAX($G$46:$G$47)),"")</f>
        <v/>
      </c>
      <c r="H54" s="95" t="str">
        <f t="shared" ref="H54:H65" si="4">IF(ISNUMBER($E54),$E54*IF($H$47&gt;0,MIN($H$46:$H$47),MAX($H$46:$H$47)),"")</f>
        <v/>
      </c>
      <c r="I54" s="73"/>
      <c r="J54" s="73"/>
      <c r="K54" s="74"/>
    </row>
    <row r="55" spans="2:11" s="28" customFormat="1" ht="19.899999999999999" customHeight="1">
      <c r="B55" s="96">
        <v>2</v>
      </c>
      <c r="C55" s="317"/>
      <c r="D55" s="317"/>
      <c r="E55" s="318"/>
      <c r="F55" s="97" t="str">
        <f t="shared" si="2"/>
        <v/>
      </c>
      <c r="G55" s="97" t="str">
        <f t="shared" si="3"/>
        <v/>
      </c>
      <c r="H55" s="97" t="str">
        <f t="shared" si="4"/>
        <v/>
      </c>
      <c r="I55" s="35"/>
      <c r="J55" s="35"/>
      <c r="K55" s="30"/>
    </row>
    <row r="56" spans="2:11" s="28" customFormat="1" ht="19.899999999999999" customHeight="1">
      <c r="B56" s="96">
        <v>3</v>
      </c>
      <c r="C56" s="317"/>
      <c r="D56" s="317"/>
      <c r="E56" s="318"/>
      <c r="F56" s="97" t="str">
        <f t="shared" si="2"/>
        <v/>
      </c>
      <c r="G56" s="97" t="str">
        <f t="shared" si="3"/>
        <v/>
      </c>
      <c r="H56" s="97" t="str">
        <f t="shared" si="4"/>
        <v/>
      </c>
      <c r="I56" s="35"/>
      <c r="J56" s="35"/>
      <c r="K56" s="30"/>
    </row>
    <row r="57" spans="2:11" s="28" customFormat="1" ht="19.899999999999999" customHeight="1">
      <c r="B57" s="96">
        <v>4</v>
      </c>
      <c r="C57" s="317"/>
      <c r="D57" s="317"/>
      <c r="E57" s="318"/>
      <c r="F57" s="97" t="str">
        <f t="shared" si="2"/>
        <v/>
      </c>
      <c r="G57" s="97" t="str">
        <f t="shared" si="3"/>
        <v/>
      </c>
      <c r="H57" s="97" t="str">
        <f t="shared" si="4"/>
        <v/>
      </c>
      <c r="I57" s="35"/>
      <c r="J57" s="35"/>
      <c r="K57" s="30"/>
    </row>
    <row r="58" spans="2:11" s="28" customFormat="1" ht="19.899999999999999" customHeight="1">
      <c r="B58" s="96">
        <v>5</v>
      </c>
      <c r="C58" s="317"/>
      <c r="D58" s="317"/>
      <c r="E58" s="318"/>
      <c r="F58" s="97" t="str">
        <f t="shared" si="2"/>
        <v/>
      </c>
      <c r="G58" s="97" t="str">
        <f t="shared" si="3"/>
        <v/>
      </c>
      <c r="H58" s="97" t="str">
        <f t="shared" si="4"/>
        <v/>
      </c>
      <c r="I58" s="35"/>
      <c r="J58" s="35"/>
      <c r="K58" s="30"/>
    </row>
    <row r="59" spans="2:11" s="28" customFormat="1" ht="19.899999999999999" customHeight="1">
      <c r="B59" s="96">
        <v>6</v>
      </c>
      <c r="C59" s="317"/>
      <c r="D59" s="317"/>
      <c r="E59" s="318"/>
      <c r="F59" s="97" t="str">
        <f t="shared" si="2"/>
        <v/>
      </c>
      <c r="G59" s="97" t="str">
        <f t="shared" si="3"/>
        <v/>
      </c>
      <c r="H59" s="97" t="str">
        <f t="shared" si="4"/>
        <v/>
      </c>
      <c r="I59" s="35"/>
      <c r="J59" s="35"/>
      <c r="K59" s="30"/>
    </row>
    <row r="60" spans="2:11" s="28" customFormat="1" ht="19.899999999999999" customHeight="1">
      <c r="B60" s="96">
        <v>7</v>
      </c>
      <c r="C60" s="317"/>
      <c r="D60" s="317"/>
      <c r="E60" s="318"/>
      <c r="F60" s="97" t="str">
        <f t="shared" si="2"/>
        <v/>
      </c>
      <c r="G60" s="97" t="str">
        <f t="shared" si="3"/>
        <v/>
      </c>
      <c r="H60" s="97" t="str">
        <f t="shared" si="4"/>
        <v/>
      </c>
      <c r="I60" s="35"/>
      <c r="J60" s="35"/>
      <c r="K60" s="30"/>
    </row>
    <row r="61" spans="2:11" s="28" customFormat="1" ht="19.899999999999999" customHeight="1">
      <c r="B61" s="96">
        <v>8</v>
      </c>
      <c r="C61" s="317"/>
      <c r="D61" s="317"/>
      <c r="E61" s="318"/>
      <c r="F61" s="97" t="str">
        <f t="shared" si="2"/>
        <v/>
      </c>
      <c r="G61" s="97" t="str">
        <f t="shared" si="3"/>
        <v/>
      </c>
      <c r="H61" s="97" t="str">
        <f t="shared" si="4"/>
        <v/>
      </c>
      <c r="I61" s="35"/>
      <c r="J61" s="35"/>
      <c r="K61" s="30"/>
    </row>
    <row r="62" spans="2:11" s="28" customFormat="1" ht="19.899999999999999" customHeight="1">
      <c r="B62" s="96">
        <v>9</v>
      </c>
      <c r="C62" s="317"/>
      <c r="D62" s="317"/>
      <c r="E62" s="318"/>
      <c r="F62" s="97" t="str">
        <f t="shared" si="2"/>
        <v/>
      </c>
      <c r="G62" s="97" t="str">
        <f t="shared" si="3"/>
        <v/>
      </c>
      <c r="H62" s="97" t="str">
        <f t="shared" si="4"/>
        <v/>
      </c>
      <c r="I62" s="35"/>
      <c r="J62" s="35"/>
      <c r="K62" s="30"/>
    </row>
    <row r="63" spans="2:11" s="28" customFormat="1" ht="19.899999999999999" customHeight="1">
      <c r="B63" s="96">
        <v>10</v>
      </c>
      <c r="C63" s="317"/>
      <c r="D63" s="317"/>
      <c r="E63" s="318"/>
      <c r="F63" s="29" t="str">
        <f t="shared" si="2"/>
        <v/>
      </c>
      <c r="G63" s="29" t="str">
        <f t="shared" si="3"/>
        <v/>
      </c>
      <c r="H63" s="29" t="str">
        <f t="shared" si="4"/>
        <v/>
      </c>
      <c r="I63" s="35"/>
      <c r="J63" s="35"/>
      <c r="K63" s="30"/>
    </row>
    <row r="64" spans="2:11" s="28" customFormat="1" ht="19.899999999999999" customHeight="1">
      <c r="B64" s="96">
        <v>11</v>
      </c>
      <c r="C64" s="317"/>
      <c r="D64" s="317"/>
      <c r="E64" s="318"/>
      <c r="F64" s="29" t="str">
        <f t="shared" si="2"/>
        <v/>
      </c>
      <c r="G64" s="29" t="str">
        <f t="shared" si="3"/>
        <v/>
      </c>
      <c r="H64" s="29" t="str">
        <f t="shared" si="4"/>
        <v/>
      </c>
      <c r="I64" s="35"/>
      <c r="J64" s="35"/>
      <c r="K64" s="30"/>
    </row>
    <row r="65" spans="2:11" s="28" customFormat="1" ht="19.899999999999999" customHeight="1" thickBot="1">
      <c r="B65" s="98">
        <v>12</v>
      </c>
      <c r="C65" s="319"/>
      <c r="D65" s="319"/>
      <c r="E65" s="320"/>
      <c r="F65" s="31" t="str">
        <f t="shared" si="2"/>
        <v/>
      </c>
      <c r="G65" s="31" t="str">
        <f t="shared" si="3"/>
        <v/>
      </c>
      <c r="H65" s="31" t="str">
        <f t="shared" si="4"/>
        <v/>
      </c>
      <c r="I65" s="37"/>
      <c r="J65" s="37"/>
      <c r="K65" s="32"/>
    </row>
    <row r="66" spans="2:11" ht="15"/>
    <row r="67" spans="2:11" ht="15" hidden="1"/>
    <row r="68" spans="2:11" ht="14.45" customHeight="1"/>
  </sheetData>
  <sheetProtection algorithmName="SHA-512" hashValue="XViCTm9FgQaAiPwe8ThpCYoCBxILpc1uAu0FtHmpMBEvrsiJV5HtE0rTNCoZ0JPtKByMyuVp/YDfhQqbAQO4qg==" saltValue="qz+iPag7Ie3WWI2IWPA7tg==" spinCount="100000" sheet="1" objects="1" scenarios="1" selectLockedCells="1" autoFilter="0"/>
  <mergeCells count="17">
    <mergeCell ref="E2:J4"/>
    <mergeCell ref="E11:F11"/>
    <mergeCell ref="B9:C9"/>
    <mergeCell ref="E9:F9"/>
    <mergeCell ref="H9:J9"/>
    <mergeCell ref="B10:C10"/>
    <mergeCell ref="E10:F10"/>
    <mergeCell ref="H10:J10"/>
    <mergeCell ref="H11:J11"/>
    <mergeCell ref="B11:C11"/>
    <mergeCell ref="B50:K50"/>
    <mergeCell ref="F51:H51"/>
    <mergeCell ref="B12:C12"/>
    <mergeCell ref="E12:F12"/>
    <mergeCell ref="E15:F15"/>
    <mergeCell ref="E24:F24"/>
    <mergeCell ref="B16:C16"/>
  </mergeCells>
  <dataValidations count="2">
    <dataValidation type="list" allowBlank="1" showInputMessage="1" showErrorMessage="1" sqref="E24" xr:uid="{00000000-0002-0000-0900-000000000000}">
      <formula1>$G$24:$H$24</formula1>
    </dataValidation>
    <dataValidation type="list" allowBlank="1" showInputMessage="1" showErrorMessage="1" sqref="E16" xr:uid="{BD8B9E3A-B358-4A3C-AA44-64C364D5C1BE}">
      <formula1>$M$16:$M$17</formula1>
    </dataValidation>
  </dataValidations>
  <pageMargins left="0.7" right="0.7" top="0.78740157499999996" bottom="0.78740157499999996" header="0.3" footer="0.3"/>
  <pageSetup paperSize="9" scale="64" orientation="portrait" r:id="rId1"/>
  <colBreaks count="1" manualBreakCount="1">
    <brk id="12"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S68"/>
  <sheetViews>
    <sheetView topLeftCell="A3" workbookViewId="0">
      <selection activeCell="E34" sqref="E34"/>
    </sheetView>
  </sheetViews>
  <sheetFormatPr baseColWidth="10" defaultColWidth="0" defaultRowHeight="14.45" customHeight="1" zeroHeight="1"/>
  <cols>
    <col min="1" max="1" width="4.7109375" customWidth="1"/>
    <col min="2" max="2" width="8.28515625" customWidth="1"/>
    <col min="3" max="3" width="24.85546875" customWidth="1"/>
    <col min="4" max="4" width="7.85546875" style="23" hidden="1" customWidth="1"/>
    <col min="5" max="5" width="12.28515625" customWidth="1"/>
    <col min="6" max="8" width="14.42578125" customWidth="1"/>
    <col min="9" max="10" width="11.42578125" customWidth="1"/>
    <col min="11" max="11" width="12.7109375" bestFit="1" customWidth="1"/>
    <col min="12" max="12" width="5.28515625" customWidth="1"/>
    <col min="13" max="16384" width="11.42578125" hidden="1"/>
  </cols>
  <sheetData>
    <row r="1" spans="1:19" ht="15.75" thickBot="1">
      <c r="A1" s="27" t="str">
        <f ca="1">MID(CELL("dateiname",A1),SEARCH("]",CELL("dateiname",A1))+1,31)</f>
        <v>TF (8)</v>
      </c>
    </row>
    <row r="2" spans="1:19" ht="15" customHeight="1">
      <c r="B2" s="389"/>
      <c r="C2" s="390"/>
      <c r="D2" s="390"/>
      <c r="E2" s="666" t="str">
        <f>_Dok_Titel</f>
        <v>Planungshilfe
Solar- und Photovoltaikanlagen auf Schrägdächern (Art. 77 Abs. 3 und 4 BZR)
Formular-Release 2.5</v>
      </c>
      <c r="F2" s="666"/>
      <c r="G2" s="666"/>
      <c r="H2" s="666"/>
      <c r="I2" s="666"/>
      <c r="J2" s="666"/>
      <c r="K2" s="391"/>
    </row>
    <row r="3" spans="1:19" ht="15" customHeight="1">
      <c r="B3" s="392"/>
      <c r="C3" s="393"/>
      <c r="D3" s="393"/>
      <c r="E3" s="667"/>
      <c r="F3" s="667"/>
      <c r="G3" s="667"/>
      <c r="H3" s="667"/>
      <c r="I3" s="667"/>
      <c r="J3" s="667"/>
      <c r="K3" s="394"/>
    </row>
    <row r="4" spans="1:19" ht="34.15" customHeight="1" thickBot="1">
      <c r="B4" s="395"/>
      <c r="C4" s="396"/>
      <c r="D4" s="396"/>
      <c r="E4" s="668"/>
      <c r="F4" s="668"/>
      <c r="G4" s="668"/>
      <c r="H4" s="668"/>
      <c r="I4" s="668"/>
      <c r="J4" s="668"/>
      <c r="K4" s="397"/>
    </row>
    <row r="5" spans="1:19" ht="15.75" thickBot="1"/>
    <row r="6" spans="1:19" s="21" customFormat="1" ht="21.75" thickBot="1">
      <c r="B6" s="18" t="str">
        <f ca="1">"Zusammenstellung Kennwerte Teilfläche "&amp;MID(CELL("dateiname",A1),SEARCH("]",CELL("dateiname",A1))+1,31)</f>
        <v>Zusammenstellung Kennwerte Teilfläche TF (8)</v>
      </c>
      <c r="C6" s="19"/>
      <c r="D6" s="48"/>
      <c r="E6" s="19"/>
      <c r="F6" s="19"/>
      <c r="G6" s="19"/>
      <c r="H6" s="19"/>
      <c r="I6" s="19"/>
      <c r="J6" s="19"/>
      <c r="K6" s="20"/>
      <c r="O6"/>
      <c r="P6"/>
      <c r="Q6"/>
      <c r="R6"/>
      <c r="S6"/>
    </row>
    <row r="7" spans="1:19" ht="15.75" thickBot="1"/>
    <row r="8" spans="1:19" s="21" customFormat="1" ht="21.75" thickBot="1">
      <c r="B8" s="18" t="s">
        <v>26</v>
      </c>
      <c r="C8" s="19"/>
      <c r="D8" s="48"/>
      <c r="E8" s="19"/>
      <c r="F8" s="19"/>
      <c r="G8" s="19"/>
      <c r="H8" s="19"/>
      <c r="I8" s="19"/>
      <c r="J8" s="19"/>
      <c r="K8" s="20"/>
      <c r="O8"/>
      <c r="P8"/>
      <c r="Q8"/>
      <c r="R8"/>
      <c r="S8"/>
    </row>
    <row r="9" spans="1:19" s="28" customFormat="1" ht="19.899999999999999" customHeight="1">
      <c r="B9" s="551" t="str">
        <f>Bericht!B7</f>
        <v>Projektname</v>
      </c>
      <c r="C9" s="552"/>
      <c r="D9" s="415"/>
      <c r="E9" s="669">
        <f>_Projektname</f>
        <v>0</v>
      </c>
      <c r="F9" s="669"/>
      <c r="G9" s="426"/>
      <c r="H9" s="649" t="str">
        <f>Bericht!J7</f>
        <v>Netzversorger:</v>
      </c>
      <c r="I9" s="649"/>
      <c r="J9" s="649"/>
      <c r="K9" s="138" t="str">
        <f>_Netzversorger</f>
        <v>ckw</v>
      </c>
    </row>
    <row r="10" spans="1:19" s="28" customFormat="1" ht="19.899999999999999" customHeight="1">
      <c r="B10" s="553" t="str">
        <f>Bericht!B8</f>
        <v>Adresse</v>
      </c>
      <c r="C10" s="554"/>
      <c r="D10" s="416"/>
      <c r="E10" s="670">
        <f>_Adresse</f>
        <v>0</v>
      </c>
      <c r="F10" s="670"/>
      <c r="G10" s="427"/>
      <c r="H10" s="650" t="str">
        <f>Bericht!J8</f>
        <v>Geplantes Datum Fertigstellung:</v>
      </c>
      <c r="I10" s="650"/>
      <c r="J10" s="650"/>
      <c r="K10" s="139">
        <f>_Datum_IBS</f>
        <v>0</v>
      </c>
      <c r="L10" s="410"/>
    </row>
    <row r="11" spans="1:19" s="28" customFormat="1" ht="19.899999999999999" customHeight="1">
      <c r="B11" s="553" t="str">
        <f>Bericht!B9</f>
        <v>PLZ Ort</v>
      </c>
      <c r="C11" s="554"/>
      <c r="D11" s="416"/>
      <c r="E11" s="670">
        <f>_PLZ</f>
        <v>0</v>
      </c>
      <c r="F11" s="670"/>
      <c r="G11" s="427"/>
      <c r="H11" s="650" t="s">
        <v>277</v>
      </c>
      <c r="I11" s="650"/>
      <c r="J11" s="650"/>
      <c r="K11" s="409">
        <f>_Letzte_REV</f>
        <v>46042</v>
      </c>
      <c r="L11" s="411"/>
    </row>
    <row r="12" spans="1:19" s="28" customFormat="1" ht="19.899999999999999" customHeight="1" thickBot="1">
      <c r="B12" s="680" t="s">
        <v>138</v>
      </c>
      <c r="C12" s="681"/>
      <c r="D12" s="31"/>
      <c r="E12" s="556">
        <f>Bericht!D10</f>
        <v>0</v>
      </c>
      <c r="F12" s="556"/>
      <c r="G12" s="428"/>
      <c r="H12" s="31" t="s">
        <v>278</v>
      </c>
      <c r="I12" s="31"/>
      <c r="J12" s="31"/>
      <c r="K12" s="358">
        <f>_Nächste_REV</f>
        <v>46357</v>
      </c>
      <c r="L12" s="411"/>
    </row>
    <row r="13" spans="1:19" ht="15.75" thickBot="1"/>
    <row r="14" spans="1:19" s="21" customFormat="1" ht="21.75" thickBot="1">
      <c r="B14" s="18" t="s">
        <v>75</v>
      </c>
      <c r="C14" s="19"/>
      <c r="D14" s="48"/>
      <c r="E14" s="19"/>
      <c r="F14" s="19"/>
      <c r="G14" s="19"/>
      <c r="H14" s="19"/>
      <c r="I14" s="19"/>
      <c r="J14" s="19"/>
      <c r="K14" s="20"/>
      <c r="O14"/>
      <c r="P14"/>
      <c r="Q14"/>
      <c r="R14"/>
      <c r="S14"/>
    </row>
    <row r="15" spans="1:19" s="28" customFormat="1" ht="19.899999999999999" customHeight="1">
      <c r="B15" s="40" t="s">
        <v>93</v>
      </c>
      <c r="C15" s="41"/>
      <c r="D15" s="42" t="s">
        <v>155</v>
      </c>
      <c r="E15" s="679"/>
      <c r="F15" s="679"/>
      <c r="G15" s="41"/>
      <c r="H15" s="41"/>
      <c r="I15" s="41"/>
      <c r="J15" s="41"/>
      <c r="K15" s="39"/>
    </row>
    <row r="16" spans="1:19" s="28" customFormat="1" ht="19.899999999999999" customHeight="1">
      <c r="B16" s="682" t="s">
        <v>355</v>
      </c>
      <c r="C16" s="616"/>
      <c r="D16" s="66" t="s">
        <v>366</v>
      </c>
      <c r="E16" s="489" t="s">
        <v>358</v>
      </c>
      <c r="F16" s="29"/>
      <c r="G16" s="73" t="s">
        <v>356</v>
      </c>
      <c r="H16" s="73"/>
      <c r="I16" s="73"/>
      <c r="J16" s="73"/>
      <c r="K16" s="74"/>
      <c r="M16" s="28" t="s">
        <v>357</v>
      </c>
    </row>
    <row r="17" spans="2:19" s="28" customFormat="1" ht="19.899999999999999" customHeight="1">
      <c r="B17" s="72" t="s">
        <v>96</v>
      </c>
      <c r="C17" s="73"/>
      <c r="D17" s="66" t="s">
        <v>129</v>
      </c>
      <c r="E17" s="270"/>
      <c r="F17" s="65" t="s">
        <v>127</v>
      </c>
      <c r="G17" s="73" t="s">
        <v>234</v>
      </c>
      <c r="H17" s="73"/>
      <c r="I17" s="73"/>
      <c r="J17" s="73"/>
      <c r="K17" s="74"/>
      <c r="M17" s="28" t="s">
        <v>358</v>
      </c>
    </row>
    <row r="18" spans="2:19" s="28" customFormat="1" ht="19.899999999999999" customHeight="1">
      <c r="B18" s="33" t="s">
        <v>94</v>
      </c>
      <c r="C18" s="35"/>
      <c r="D18" s="34" t="s">
        <v>37</v>
      </c>
      <c r="E18" s="271"/>
      <c r="F18" s="29" t="s">
        <v>54</v>
      </c>
      <c r="G18" s="35" t="s">
        <v>67</v>
      </c>
      <c r="H18" s="35"/>
      <c r="I18" s="35"/>
      <c r="J18" s="35"/>
      <c r="K18" s="30"/>
    </row>
    <row r="19" spans="2:19" s="28" customFormat="1" ht="19.899999999999999" customHeight="1" thickBot="1">
      <c r="B19" s="36" t="s">
        <v>95</v>
      </c>
      <c r="C19" s="37"/>
      <c r="D19" s="71" t="s">
        <v>38</v>
      </c>
      <c r="E19" s="272"/>
      <c r="F19" s="31" t="s">
        <v>54</v>
      </c>
      <c r="G19" s="37" t="s">
        <v>68</v>
      </c>
      <c r="H19" s="37"/>
      <c r="I19" s="37"/>
      <c r="J19" s="37"/>
      <c r="K19" s="32"/>
    </row>
    <row r="20" spans="2:19" s="23" customFormat="1" ht="15" hidden="1" customHeight="1">
      <c r="C20" s="23" t="s">
        <v>74</v>
      </c>
      <c r="E20" s="23">
        <f>RADIANS(E18)</f>
        <v>0</v>
      </c>
    </row>
    <row r="21" spans="2:19" s="23" customFormat="1" ht="15" hidden="1">
      <c r="C21" s="23" t="s">
        <v>71</v>
      </c>
      <c r="E21" s="23">
        <f>-RADIANS(E19)</f>
        <v>0</v>
      </c>
    </row>
    <row r="22" spans="2:19" ht="15.75" thickBot="1"/>
    <row r="23" spans="2:19" s="21" customFormat="1" ht="21.75" thickBot="1">
      <c r="B23" s="18" t="s">
        <v>50</v>
      </c>
      <c r="C23" s="19"/>
      <c r="D23" s="48"/>
      <c r="E23" s="19"/>
      <c r="F23" s="19"/>
      <c r="G23" s="19"/>
      <c r="H23" s="19"/>
      <c r="I23" s="19"/>
      <c r="J23" s="19"/>
      <c r="K23" s="20"/>
      <c r="O23"/>
      <c r="P23"/>
      <c r="Q23"/>
      <c r="R23"/>
      <c r="S23"/>
    </row>
    <row r="24" spans="2:19" s="28" customFormat="1" ht="19.899999999999999" customHeight="1">
      <c r="B24" s="40" t="s">
        <v>51</v>
      </c>
      <c r="C24" s="41"/>
      <c r="D24" s="42" t="s">
        <v>76</v>
      </c>
      <c r="E24" s="687" t="s">
        <v>105</v>
      </c>
      <c r="F24" s="687"/>
      <c r="G24" s="41" t="s">
        <v>104</v>
      </c>
      <c r="H24" s="41" t="s">
        <v>105</v>
      </c>
      <c r="I24" s="41"/>
      <c r="J24" s="41"/>
      <c r="K24" s="39"/>
    </row>
    <row r="25" spans="2:19" s="28" customFormat="1" ht="19.899999999999999" customHeight="1">
      <c r="B25" s="72" t="s">
        <v>229</v>
      </c>
      <c r="C25" s="73"/>
      <c r="D25" s="66" t="s">
        <v>235</v>
      </c>
      <c r="E25" s="485" t="str">
        <f>IF((ABS($E18)+_AbweichungNord)&gt;180,"Satiniert","Standard")</f>
        <v>Standard</v>
      </c>
      <c r="F25" s="485"/>
      <c r="G25" s="73"/>
      <c r="H25" s="73"/>
      <c r="I25" s="73"/>
      <c r="J25" s="73"/>
      <c r="K25" s="74"/>
    </row>
    <row r="26" spans="2:19" s="28" customFormat="1" ht="19.899999999999999" customHeight="1">
      <c r="B26" s="33" t="s">
        <v>49</v>
      </c>
      <c r="C26" s="35"/>
      <c r="D26" s="34" t="s">
        <v>40</v>
      </c>
      <c r="E26" s="29">
        <f>IF((ABS($E18)+_AbweichungNord)&gt;180,_Modulleistung_Satin,_Modulleistung_Standard)</f>
        <v>485</v>
      </c>
      <c r="F26" s="29" t="s">
        <v>58</v>
      </c>
      <c r="G26" s="35" t="str">
        <f ca="1">"Modulleistung definiert im Tab "&amp;Datengrundlage!A1&amp;""</f>
        <v>Modulleistung definiert im Tab Datengrundlage</v>
      </c>
      <c r="H26" s="35"/>
      <c r="I26" s="35"/>
      <c r="J26" s="35"/>
      <c r="K26" s="30"/>
    </row>
    <row r="27" spans="2:19" s="28" customFormat="1" ht="19.899999999999999" customHeight="1">
      <c r="B27" s="33" t="s">
        <v>196</v>
      </c>
      <c r="C27" s="35"/>
      <c r="D27" s="34" t="s">
        <v>97</v>
      </c>
      <c r="E27" s="273"/>
      <c r="F27" s="29" t="s">
        <v>99</v>
      </c>
      <c r="G27" s="35" t="s">
        <v>202</v>
      </c>
      <c r="H27" s="35"/>
      <c r="I27" s="35"/>
      <c r="J27" s="35"/>
      <c r="K27" s="30"/>
    </row>
    <row r="28" spans="2:19" s="28" customFormat="1" ht="19.899999999999999" customHeight="1" thickBot="1">
      <c r="B28" s="36" t="s">
        <v>195</v>
      </c>
      <c r="C28" s="37"/>
      <c r="D28" s="71" t="s">
        <v>154</v>
      </c>
      <c r="E28" s="313">
        <f>E27</f>
        <v>0</v>
      </c>
      <c r="F28" s="31" t="s">
        <v>99</v>
      </c>
      <c r="G28" s="37" t="s">
        <v>203</v>
      </c>
      <c r="H28" s="37"/>
      <c r="I28" s="37"/>
      <c r="J28" s="37"/>
      <c r="K28" s="32"/>
    </row>
    <row r="29" spans="2:19" ht="15.75" thickBot="1"/>
    <row r="30" spans="2:19" s="21" customFormat="1" ht="21.75" thickBot="1">
      <c r="B30" s="18" t="s">
        <v>281</v>
      </c>
      <c r="C30" s="19"/>
      <c r="D30" s="48"/>
      <c r="E30" s="19"/>
      <c r="F30" s="19"/>
      <c r="G30" s="19"/>
      <c r="H30" s="19"/>
      <c r="I30" s="19"/>
      <c r="J30" s="19"/>
      <c r="K30" s="20"/>
      <c r="O30"/>
      <c r="P30"/>
      <c r="Q30"/>
      <c r="R30"/>
      <c r="S30"/>
    </row>
    <row r="31" spans="2:19" s="28" customFormat="1" ht="19.899999999999999" customHeight="1">
      <c r="B31" s="40" t="s">
        <v>120</v>
      </c>
      <c r="C31" s="41"/>
      <c r="D31" s="42"/>
      <c r="E31" s="76">
        <f>_Spez_Ertrag_Standort</f>
        <v>900</v>
      </c>
      <c r="F31" s="75" t="s">
        <v>123</v>
      </c>
      <c r="G31" s="41" t="str">
        <f>"Spez. Ertrag am Standort"</f>
        <v>Spez. Ertrag am Standort</v>
      </c>
      <c r="H31" s="41"/>
      <c r="I31" s="41"/>
      <c r="J31" s="41"/>
      <c r="K31" s="39"/>
    </row>
    <row r="32" spans="2:19" s="28" customFormat="1" ht="19.899999999999999" customHeight="1">
      <c r="B32" s="33" t="s">
        <v>119</v>
      </c>
      <c r="C32" s="35"/>
      <c r="D32" s="34"/>
      <c r="E32" s="77" cm="1">
        <f t="array" ref="E32">INDEX(_Faktor_Ausrichtung,ROUND(((E19/_RasterNeigung))+1,0),ROUND((((E18)/_RasterAzimut))+180/_RasterAzimut+1,0),1)</f>
        <v>1</v>
      </c>
      <c r="F32" s="29"/>
      <c r="G32" s="35" t="s">
        <v>115</v>
      </c>
      <c r="H32" s="35"/>
      <c r="I32" s="35"/>
      <c r="J32" s="35"/>
      <c r="K32" s="30"/>
    </row>
    <row r="33" spans="2:19" s="44" customFormat="1" ht="19.899999999999999" hidden="1" customHeight="1">
      <c r="B33" s="43" t="s">
        <v>121</v>
      </c>
      <c r="C33" s="34"/>
      <c r="D33" s="34"/>
      <c r="E33" s="47">
        <f>E31*E32</f>
        <v>900</v>
      </c>
      <c r="F33" s="45" t="s">
        <v>123</v>
      </c>
      <c r="G33" s="34" t="s">
        <v>116</v>
      </c>
      <c r="H33" s="34"/>
      <c r="I33" s="34"/>
      <c r="J33" s="34"/>
      <c r="K33" s="46"/>
    </row>
    <row r="34" spans="2:19" s="28" customFormat="1" ht="19.899999999999999" customHeight="1">
      <c r="B34" s="33" t="s">
        <v>148</v>
      </c>
      <c r="C34" s="35"/>
      <c r="D34" s="34" t="s">
        <v>151</v>
      </c>
      <c r="E34" s="314"/>
      <c r="F34" s="29" t="s">
        <v>123</v>
      </c>
      <c r="G34" s="35" t="s">
        <v>117</v>
      </c>
      <c r="H34" s="35"/>
      <c r="I34" s="35"/>
      <c r="J34" s="35"/>
      <c r="K34" s="30"/>
    </row>
    <row r="35" spans="2:19" s="28" customFormat="1" ht="19.899999999999999" customHeight="1" thickBot="1">
      <c r="B35" s="36" t="s">
        <v>122</v>
      </c>
      <c r="C35" s="37"/>
      <c r="D35" s="71" t="s">
        <v>77</v>
      </c>
      <c r="E35" s="78">
        <f>IF(ISNUMBER(E34),E34,E33)</f>
        <v>900</v>
      </c>
      <c r="F35" s="31" t="s">
        <v>123</v>
      </c>
      <c r="G35" s="37" t="s">
        <v>118</v>
      </c>
      <c r="H35" s="37"/>
      <c r="I35" s="37"/>
      <c r="J35" s="37"/>
      <c r="K35" s="32"/>
    </row>
    <row r="36" spans="2:19" ht="15.75" thickBot="1"/>
    <row r="37" spans="2:19" s="21" customFormat="1" ht="21.75" thickBot="1">
      <c r="B37" s="18" t="s">
        <v>350</v>
      </c>
      <c r="C37" s="19"/>
      <c r="D37" s="48"/>
      <c r="E37" s="19"/>
      <c r="F37" s="19"/>
      <c r="G37" s="19"/>
      <c r="H37" s="19"/>
      <c r="I37" s="19"/>
      <c r="J37" s="19"/>
      <c r="K37" s="20"/>
      <c r="O37"/>
      <c r="P37"/>
      <c r="Q37"/>
      <c r="R37"/>
      <c r="S37"/>
    </row>
    <row r="38" spans="2:19" s="28" customFormat="1" ht="19.899999999999999" customHeight="1">
      <c r="B38" s="40" t="s">
        <v>351</v>
      </c>
      <c r="C38" s="41"/>
      <c r="D38" s="42" t="s">
        <v>365</v>
      </c>
      <c r="E38" s="76">
        <f>IF(AND(E19&gt;=_Neigungswinkel_für_NB_Bund,E19&lt;=90),E27*E26/1000*_Neigungswinkelbonus_Bund,0)</f>
        <v>0</v>
      </c>
      <c r="F38" s="483" t="s">
        <v>353</v>
      </c>
      <c r="G38" s="41"/>
      <c r="H38" s="76">
        <f>IF(AND(E19&gt;=_Neigungswinkel_für_NB_Bund,E19&lt;=90),E28*E26/1000*_Neigungswinkelbonus_Bund,0)</f>
        <v>0</v>
      </c>
      <c r="I38" s="41" t="s">
        <v>354</v>
      </c>
      <c r="J38" s="41"/>
      <c r="K38" s="39"/>
    </row>
    <row r="39" spans="2:19" s="28" customFormat="1" ht="19.899999999999999" customHeight="1">
      <c r="B39" s="33" t="s">
        <v>359</v>
      </c>
      <c r="C39" s="35"/>
      <c r="D39" s="34" t="s">
        <v>364</v>
      </c>
      <c r="E39" s="482">
        <f>IFERROR(IF(AND(E16=M16,E27*E26/1000&gt;=_Schwelle_PPBonus),E27*E26/1000*_Parkplatzbonus_pronovo,0),0)</f>
        <v>0</v>
      </c>
      <c r="F39" s="29" t="s">
        <v>353</v>
      </c>
      <c r="G39" s="35"/>
      <c r="H39" s="482">
        <f>IFERROR(IF(AND(E16=M16,E28*E26/1000&gt;=_Schwelle_PPBonus),E28*E26/1000*_Parkplatzbonus_pronovo,0),0)</f>
        <v>0</v>
      </c>
      <c r="I39" s="35" t="s">
        <v>354</v>
      </c>
      <c r="J39" s="35"/>
      <c r="K39" s="30"/>
    </row>
    <row r="40" spans="2:19" s="28" customFormat="1" ht="19.899999999999999" customHeight="1">
      <c r="B40" s="33" t="s">
        <v>352</v>
      </c>
      <c r="C40" s="35"/>
      <c r="D40" s="34" t="s">
        <v>362</v>
      </c>
      <c r="E40" s="482">
        <f>IFERROR(IF(AND(E19&gt;=_Neigungswinkel_für_NB_Bund,E19&lt;=90),E27*_Modullänge_Standard*_Modulbreite_Standard*_ZuschlagSteil_Stadt,0),0)</f>
        <v>0</v>
      </c>
      <c r="F40" s="29" t="s">
        <v>353</v>
      </c>
      <c r="G40" s="35"/>
      <c r="H40" s="482">
        <f>IFERROR(IF(AND(E19&gt;=_Neigungswinkel_für_NB_Bund,E19&lt;=90),E28*_Modullänge_Standard*_Modulbreite_Standard*_ZuschlagSteil_Stadt,0),0)</f>
        <v>0</v>
      </c>
      <c r="I40" s="35" t="s">
        <v>354</v>
      </c>
      <c r="J40" s="35"/>
      <c r="K40" s="30"/>
    </row>
    <row r="41" spans="2:19" s="28" customFormat="1" ht="19.899999999999999" customHeight="1" thickBot="1">
      <c r="B41" s="36" t="s">
        <v>337</v>
      </c>
      <c r="C41" s="37"/>
      <c r="D41" s="71" t="s">
        <v>363</v>
      </c>
      <c r="E41" s="78">
        <f>IF(AND((ABS($E18)+_AbweichungNord)&gt;=180,E19&lt;_Neigungswinkel_für_NB_Bund),E27*E26/1000*_ZuschlagNord_Stadt,0)</f>
        <v>0</v>
      </c>
      <c r="F41" s="31" t="s">
        <v>353</v>
      </c>
      <c r="G41" s="37"/>
      <c r="H41" s="78">
        <f>IF(AND((ABS($E18)+_AbweichungNord)&gt;=180,E19&lt;_Neigungswinkel_für_NB_Bund),E28*E26/1000*_ZuschlagNord_Stadt,0)</f>
        <v>0</v>
      </c>
      <c r="I41" s="37" t="s">
        <v>354</v>
      </c>
      <c r="J41" s="37"/>
      <c r="K41" s="32"/>
    </row>
    <row r="42" spans="2:19" ht="15.75" thickBot="1"/>
    <row r="43" spans="2:19" s="21" customFormat="1" ht="21.75" thickBot="1">
      <c r="B43" s="18" t="s">
        <v>189</v>
      </c>
      <c r="C43" s="19"/>
      <c r="D43" s="48"/>
      <c r="E43" s="19"/>
      <c r="F43" s="19"/>
      <c r="G43" s="19"/>
      <c r="H43" s="19"/>
      <c r="I43" s="19"/>
      <c r="J43" s="19"/>
      <c r="K43" s="20"/>
      <c r="O43"/>
      <c r="P43"/>
      <c r="Q43"/>
      <c r="R43"/>
      <c r="S43"/>
    </row>
    <row r="44" spans="2:19" s="23" customFormat="1" ht="15" hidden="1">
      <c r="B44" s="79"/>
      <c r="D44" s="23" t="s">
        <v>84</v>
      </c>
      <c r="F44" s="23">
        <v>-90</v>
      </c>
      <c r="G44" s="23">
        <v>-180</v>
      </c>
      <c r="H44" s="23">
        <v>90</v>
      </c>
      <c r="K44" s="80"/>
    </row>
    <row r="45" spans="2:19" s="23" customFormat="1" ht="15" hidden="1">
      <c r="B45" s="79"/>
      <c r="D45" s="23" t="s">
        <v>69</v>
      </c>
      <c r="F45" s="81">
        <f>RADIANS(F44)</f>
        <v>-1.5707963267948966</v>
      </c>
      <c r="G45" s="81">
        <f t="shared" ref="G45:H45" si="0">RADIANS(G44)</f>
        <v>-3.1415926535897931</v>
      </c>
      <c r="H45" s="81">
        <f t="shared" si="0"/>
        <v>1.5707963267948966</v>
      </c>
      <c r="K45" s="80"/>
    </row>
    <row r="46" spans="2:19" s="23" customFormat="1" ht="15" hidden="1">
      <c r="B46" s="79"/>
      <c r="D46" s="23" t="s">
        <v>70</v>
      </c>
      <c r="F46" s="23">
        <v>1</v>
      </c>
      <c r="G46" s="23">
        <v>3</v>
      </c>
      <c r="H46" s="23">
        <v>1</v>
      </c>
      <c r="K46" s="80"/>
    </row>
    <row r="47" spans="2:19" s="23" customFormat="1" ht="15" hidden="1">
      <c r="B47" s="79"/>
      <c r="D47" s="23" t="s">
        <v>85</v>
      </c>
      <c r="F47" s="82">
        <f>$F$46*SIN(ATAN(1/$F$46))/SIN(ASIN(SIN($E$21)*COS($F$45-PI()+$E$20))+ATAN(1/$F$46))</f>
        <v>1</v>
      </c>
      <c r="G47" s="82">
        <f>$G$46*SIN(ATAN(1/$G$46))/SIN(ASIN(SIN(-$E$21)*COS($G$45-PI()+$E$20))+ATAN(1/$G$46))</f>
        <v>3</v>
      </c>
      <c r="H47" s="82">
        <f>$H$46*SIN(ATAN(1/$H$46))/SIN(ASIN(SIN($E$21)*COS($H$45-PI()+$E$20))+ATAN(1/$H$46))</f>
        <v>1</v>
      </c>
      <c r="K47" s="80"/>
    </row>
    <row r="48" spans="2:19" s="23" customFormat="1" ht="15" hidden="1">
      <c r="B48" s="79"/>
      <c r="D48" s="23" t="s">
        <v>72</v>
      </c>
      <c r="F48" s="81">
        <f>ASIN(SIN($E$21)*COS(F45-$E$20))</f>
        <v>0</v>
      </c>
      <c r="G48" s="81">
        <f>ASIN(SIN($E$21)*COS(G45-$E$20))</f>
        <v>0</v>
      </c>
      <c r="H48" s="81">
        <f>ASIN(SIN($E$21)*COS(H45-$E$20))</f>
        <v>0</v>
      </c>
      <c r="K48" s="80"/>
    </row>
    <row r="49" spans="2:11" s="23" customFormat="1" ht="15" hidden="1">
      <c r="B49" s="79"/>
      <c r="D49" s="23" t="s">
        <v>73</v>
      </c>
      <c r="F49" s="83">
        <f>F48*180/PI()</f>
        <v>0</v>
      </c>
      <c r="G49" s="83">
        <f t="shared" ref="G49:H49" si="1">G48*180/PI()</f>
        <v>0</v>
      </c>
      <c r="H49" s="83">
        <f t="shared" si="1"/>
        <v>0</v>
      </c>
      <c r="K49" s="80"/>
    </row>
    <row r="50" spans="2:11" s="262" customFormat="1" ht="59.45" customHeight="1">
      <c r="B50" s="684" t="str">
        <f>"Zum Dachrand, sowie um Dachaufbauten wie Fenster, Lukarnen, Kamine, Lüftungsrohre etc. dürfen Abstände von "&amp;_Modul_Randabstand&amp;" m berücksichtigt werden. Die Verschattungsabstände durch hohe Objekte können zudem gemäss Kallkulation nach untenstehender Tabelle berücksichtigt werden. (Abstände auf der Dachfläche in die entsprechende Himmelsrichtung)"</f>
        <v>Zum Dachrand, sowie um Dachaufbauten wie Fenster, Lukarnen, Kamine, Lüftungsrohre etc. dürfen Abstände von 0.2 m berücksichtigt werden. Die Verschattungsabstände durch hohe Objekte können zudem gemäss Kallkulation nach untenstehender Tabelle berücksichtigt werden. (Abstände auf der Dachfläche in die entsprechende Himmelsrichtung)</v>
      </c>
      <c r="C50" s="685"/>
      <c r="D50" s="685"/>
      <c r="E50" s="685"/>
      <c r="F50" s="685"/>
      <c r="G50" s="685"/>
      <c r="H50" s="685"/>
      <c r="I50" s="685"/>
      <c r="J50" s="685"/>
      <c r="K50" s="686"/>
    </row>
    <row r="51" spans="2:11" s="28" customFormat="1" ht="19.899999999999999" customHeight="1">
      <c r="B51" s="49"/>
      <c r="C51" s="50"/>
      <c r="D51" s="51"/>
      <c r="E51" s="84"/>
      <c r="F51" s="683" t="s">
        <v>87</v>
      </c>
      <c r="G51" s="683"/>
      <c r="H51" s="683"/>
      <c r="K51" s="86"/>
    </row>
    <row r="52" spans="2:11" s="28" customFormat="1" ht="19.899999999999999" customHeight="1">
      <c r="B52" s="49" t="s">
        <v>91</v>
      </c>
      <c r="C52" s="50" t="s">
        <v>20</v>
      </c>
      <c r="D52" s="51"/>
      <c r="E52" s="87" t="s">
        <v>114</v>
      </c>
      <c r="F52" s="85" t="s">
        <v>88</v>
      </c>
      <c r="G52" s="85" t="s">
        <v>89</v>
      </c>
      <c r="H52" s="85" t="s">
        <v>90</v>
      </c>
      <c r="K52" s="86"/>
    </row>
    <row r="53" spans="2:11" s="28" customFormat="1" ht="19.899999999999999" customHeight="1">
      <c r="B53" s="88" t="s">
        <v>92</v>
      </c>
      <c r="C53" s="89"/>
      <c r="D53" s="90"/>
      <c r="E53" s="91" t="s">
        <v>86</v>
      </c>
      <c r="F53" s="91" t="s">
        <v>86</v>
      </c>
      <c r="G53" s="91" t="s">
        <v>86</v>
      </c>
      <c r="H53" s="91" t="s">
        <v>86</v>
      </c>
      <c r="I53" s="92"/>
      <c r="J53" s="92"/>
      <c r="K53" s="93"/>
    </row>
    <row r="54" spans="2:11" s="28" customFormat="1" ht="19.899999999999999" customHeight="1">
      <c r="B54" s="94">
        <v>1</v>
      </c>
      <c r="C54" s="315"/>
      <c r="D54" s="315"/>
      <c r="E54" s="316"/>
      <c r="F54" s="95" t="str">
        <f t="shared" ref="F54:F65" si="2">IF(ISNUMBER($E54),$E54*IF($F$47&gt;0,MIN($F$46:$F$47),MAX($F$46:$F$47)),"")</f>
        <v/>
      </c>
      <c r="G54" s="95" t="str">
        <f t="shared" ref="G54:G65" si="3">IF(ISNUMBER($E54),$E54*IF($G$47&gt;0,MIN($G$46:$G$47),MAX($G$46:$G$47)),"")</f>
        <v/>
      </c>
      <c r="H54" s="95" t="str">
        <f t="shared" ref="H54:H65" si="4">IF(ISNUMBER($E54),$E54*IF($H$47&gt;0,MIN($H$46:$H$47),MAX($H$46:$H$47)),"")</f>
        <v/>
      </c>
      <c r="I54" s="73"/>
      <c r="J54" s="73"/>
      <c r="K54" s="74"/>
    </row>
    <row r="55" spans="2:11" s="28" customFormat="1" ht="19.899999999999999" customHeight="1">
      <c r="B55" s="96">
        <v>2</v>
      </c>
      <c r="C55" s="317"/>
      <c r="D55" s="317"/>
      <c r="E55" s="318"/>
      <c r="F55" s="97" t="str">
        <f t="shared" si="2"/>
        <v/>
      </c>
      <c r="G55" s="97" t="str">
        <f t="shared" si="3"/>
        <v/>
      </c>
      <c r="H55" s="97" t="str">
        <f t="shared" si="4"/>
        <v/>
      </c>
      <c r="I55" s="35"/>
      <c r="J55" s="35"/>
      <c r="K55" s="30"/>
    </row>
    <row r="56" spans="2:11" s="28" customFormat="1" ht="19.899999999999999" customHeight="1">
      <c r="B56" s="96">
        <v>3</v>
      </c>
      <c r="C56" s="317"/>
      <c r="D56" s="317"/>
      <c r="E56" s="318"/>
      <c r="F56" s="97" t="str">
        <f t="shared" si="2"/>
        <v/>
      </c>
      <c r="G56" s="97" t="str">
        <f t="shared" si="3"/>
        <v/>
      </c>
      <c r="H56" s="97" t="str">
        <f t="shared" si="4"/>
        <v/>
      </c>
      <c r="I56" s="35"/>
      <c r="J56" s="35"/>
      <c r="K56" s="30"/>
    </row>
    <row r="57" spans="2:11" s="28" customFormat="1" ht="19.899999999999999" customHeight="1">
      <c r="B57" s="96">
        <v>4</v>
      </c>
      <c r="C57" s="317"/>
      <c r="D57" s="317"/>
      <c r="E57" s="318"/>
      <c r="F57" s="97" t="str">
        <f t="shared" si="2"/>
        <v/>
      </c>
      <c r="G57" s="97" t="str">
        <f t="shared" si="3"/>
        <v/>
      </c>
      <c r="H57" s="97" t="str">
        <f t="shared" si="4"/>
        <v/>
      </c>
      <c r="I57" s="35"/>
      <c r="J57" s="35"/>
      <c r="K57" s="30"/>
    </row>
    <row r="58" spans="2:11" s="28" customFormat="1" ht="19.899999999999999" customHeight="1">
      <c r="B58" s="96">
        <v>5</v>
      </c>
      <c r="C58" s="317"/>
      <c r="D58" s="317"/>
      <c r="E58" s="318"/>
      <c r="F58" s="97" t="str">
        <f t="shared" si="2"/>
        <v/>
      </c>
      <c r="G58" s="97" t="str">
        <f t="shared" si="3"/>
        <v/>
      </c>
      <c r="H58" s="97" t="str">
        <f t="shared" si="4"/>
        <v/>
      </c>
      <c r="I58" s="35"/>
      <c r="J58" s="35"/>
      <c r="K58" s="30"/>
    </row>
    <row r="59" spans="2:11" s="28" customFormat="1" ht="19.899999999999999" customHeight="1">
      <c r="B59" s="96">
        <v>6</v>
      </c>
      <c r="C59" s="317"/>
      <c r="D59" s="317"/>
      <c r="E59" s="318"/>
      <c r="F59" s="97" t="str">
        <f t="shared" si="2"/>
        <v/>
      </c>
      <c r="G59" s="97" t="str">
        <f t="shared" si="3"/>
        <v/>
      </c>
      <c r="H59" s="97" t="str">
        <f t="shared" si="4"/>
        <v/>
      </c>
      <c r="I59" s="35"/>
      <c r="J59" s="35"/>
      <c r="K59" s="30"/>
    </row>
    <row r="60" spans="2:11" s="28" customFormat="1" ht="19.899999999999999" customHeight="1">
      <c r="B60" s="96">
        <v>7</v>
      </c>
      <c r="C60" s="317"/>
      <c r="D60" s="317"/>
      <c r="E60" s="318"/>
      <c r="F60" s="97" t="str">
        <f t="shared" si="2"/>
        <v/>
      </c>
      <c r="G60" s="97" t="str">
        <f t="shared" si="3"/>
        <v/>
      </c>
      <c r="H60" s="97" t="str">
        <f t="shared" si="4"/>
        <v/>
      </c>
      <c r="I60" s="35"/>
      <c r="J60" s="35"/>
      <c r="K60" s="30"/>
    </row>
    <row r="61" spans="2:11" s="28" customFormat="1" ht="19.899999999999999" customHeight="1">
      <c r="B61" s="96">
        <v>8</v>
      </c>
      <c r="C61" s="317"/>
      <c r="D61" s="317"/>
      <c r="E61" s="318"/>
      <c r="F61" s="97" t="str">
        <f t="shared" si="2"/>
        <v/>
      </c>
      <c r="G61" s="97" t="str">
        <f t="shared" si="3"/>
        <v/>
      </c>
      <c r="H61" s="97" t="str">
        <f t="shared" si="4"/>
        <v/>
      </c>
      <c r="I61" s="35"/>
      <c r="J61" s="35"/>
      <c r="K61" s="30"/>
    </row>
    <row r="62" spans="2:11" s="28" customFormat="1" ht="19.899999999999999" customHeight="1">
      <c r="B62" s="96">
        <v>9</v>
      </c>
      <c r="C62" s="317"/>
      <c r="D62" s="317"/>
      <c r="E62" s="318"/>
      <c r="F62" s="97" t="str">
        <f t="shared" si="2"/>
        <v/>
      </c>
      <c r="G62" s="97" t="str">
        <f t="shared" si="3"/>
        <v/>
      </c>
      <c r="H62" s="97" t="str">
        <f t="shared" si="4"/>
        <v/>
      </c>
      <c r="I62" s="35"/>
      <c r="J62" s="35"/>
      <c r="K62" s="30"/>
    </row>
    <row r="63" spans="2:11" s="28" customFormat="1" ht="19.899999999999999" customHeight="1">
      <c r="B63" s="96">
        <v>10</v>
      </c>
      <c r="C63" s="317"/>
      <c r="D63" s="317"/>
      <c r="E63" s="318"/>
      <c r="F63" s="29" t="str">
        <f t="shared" si="2"/>
        <v/>
      </c>
      <c r="G63" s="29" t="str">
        <f t="shared" si="3"/>
        <v/>
      </c>
      <c r="H63" s="29" t="str">
        <f t="shared" si="4"/>
        <v/>
      </c>
      <c r="I63" s="35"/>
      <c r="J63" s="35"/>
      <c r="K63" s="30"/>
    </row>
    <row r="64" spans="2:11" s="28" customFormat="1" ht="19.899999999999999" customHeight="1">
      <c r="B64" s="96">
        <v>11</v>
      </c>
      <c r="C64" s="317"/>
      <c r="D64" s="317"/>
      <c r="E64" s="318"/>
      <c r="F64" s="29" t="str">
        <f t="shared" si="2"/>
        <v/>
      </c>
      <c r="G64" s="29" t="str">
        <f t="shared" si="3"/>
        <v/>
      </c>
      <c r="H64" s="29" t="str">
        <f t="shared" si="4"/>
        <v/>
      </c>
      <c r="I64" s="35"/>
      <c r="J64" s="35"/>
      <c r="K64" s="30"/>
    </row>
    <row r="65" spans="2:11" s="28" customFormat="1" ht="19.899999999999999" customHeight="1" thickBot="1">
      <c r="B65" s="98">
        <v>12</v>
      </c>
      <c r="C65" s="319"/>
      <c r="D65" s="319"/>
      <c r="E65" s="320"/>
      <c r="F65" s="31" t="str">
        <f t="shared" si="2"/>
        <v/>
      </c>
      <c r="G65" s="31" t="str">
        <f t="shared" si="3"/>
        <v/>
      </c>
      <c r="H65" s="31" t="str">
        <f t="shared" si="4"/>
        <v/>
      </c>
      <c r="I65" s="37"/>
      <c r="J65" s="37"/>
      <c r="K65" s="32"/>
    </row>
    <row r="66" spans="2:11" ht="15"/>
    <row r="67" spans="2:11" ht="15" hidden="1"/>
    <row r="68" spans="2:11" ht="14.45" customHeight="1"/>
  </sheetData>
  <sheetProtection algorithmName="SHA-512" hashValue="YNiT8lgjmt7VxdNaamr4mZUKXDESo2bP9lF4ybAt4W9WDW5vbDGINFxBmoU9cBzWo1STio+UjGtAPCNfJ94dag==" saltValue="ejkPG8JI40R2PmGHUNNIkg==" spinCount="100000" sheet="1" objects="1" scenarios="1" selectLockedCells="1" autoFilter="0"/>
  <mergeCells count="17">
    <mergeCell ref="E2:J4"/>
    <mergeCell ref="E11:F11"/>
    <mergeCell ref="B9:C9"/>
    <mergeCell ref="E9:F9"/>
    <mergeCell ref="H9:J9"/>
    <mergeCell ref="B10:C10"/>
    <mergeCell ref="E10:F10"/>
    <mergeCell ref="H10:J10"/>
    <mergeCell ref="H11:J11"/>
    <mergeCell ref="B11:C11"/>
    <mergeCell ref="B50:K50"/>
    <mergeCell ref="F51:H51"/>
    <mergeCell ref="B12:C12"/>
    <mergeCell ref="E12:F12"/>
    <mergeCell ref="E15:F15"/>
    <mergeCell ref="E24:F24"/>
    <mergeCell ref="B16:C16"/>
  </mergeCells>
  <dataValidations count="2">
    <dataValidation type="list" allowBlank="1" showInputMessage="1" showErrorMessage="1" sqref="E24" xr:uid="{00000000-0002-0000-0A00-000000000000}">
      <formula1>$G$24:$H$24</formula1>
    </dataValidation>
    <dataValidation type="list" allowBlank="1" showInputMessage="1" showErrorMessage="1" sqref="E16" xr:uid="{FEF5F7A1-C267-44F4-A6FC-CE2C8373FF4F}">
      <formula1>$M$16:$M$17</formula1>
    </dataValidation>
  </dataValidations>
  <pageMargins left="0.7" right="0.7" top="0.78740157499999996" bottom="0.78740157499999996" header="0.3" footer="0.3"/>
  <pageSetup paperSize="9" scale="64" orientation="portrait" r:id="rId1"/>
  <colBreaks count="1" manualBreakCount="1">
    <brk id="12" max="1048575"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S68"/>
  <sheetViews>
    <sheetView topLeftCell="A7" workbookViewId="0">
      <selection activeCell="E34" sqref="E34"/>
    </sheetView>
  </sheetViews>
  <sheetFormatPr baseColWidth="10" defaultColWidth="0" defaultRowHeight="14.45" customHeight="1" zeroHeight="1"/>
  <cols>
    <col min="1" max="1" width="4.7109375" customWidth="1"/>
    <col min="2" max="2" width="8.28515625" customWidth="1"/>
    <col min="3" max="3" width="24.85546875" customWidth="1"/>
    <col min="4" max="4" width="7.85546875" style="23" hidden="1" customWidth="1"/>
    <col min="5" max="5" width="12.28515625" customWidth="1"/>
    <col min="6" max="8" width="14.42578125" customWidth="1"/>
    <col min="9" max="10" width="11.42578125" customWidth="1"/>
    <col min="11" max="11" width="12.7109375" bestFit="1" customWidth="1"/>
    <col min="12" max="12" width="5.28515625" customWidth="1"/>
    <col min="13" max="16384" width="11.42578125" hidden="1"/>
  </cols>
  <sheetData>
    <row r="1" spans="1:19" ht="15.75" thickBot="1">
      <c r="A1" s="27" t="str">
        <f ca="1">MID(CELL("dateiname",A1),SEARCH("]",CELL("dateiname",A1))+1,31)</f>
        <v>TF (9)</v>
      </c>
    </row>
    <row r="2" spans="1:19" ht="15" customHeight="1">
      <c r="B2" s="389"/>
      <c r="C2" s="390"/>
      <c r="D2" s="390"/>
      <c r="E2" s="666" t="str">
        <f>_Dok_Titel</f>
        <v>Planungshilfe
Solar- und Photovoltaikanlagen auf Schrägdächern (Art. 77 Abs. 3 und 4 BZR)
Formular-Release 2.5</v>
      </c>
      <c r="F2" s="666"/>
      <c r="G2" s="666"/>
      <c r="H2" s="666"/>
      <c r="I2" s="666"/>
      <c r="J2" s="666"/>
      <c r="K2" s="391"/>
    </row>
    <row r="3" spans="1:19" ht="15" customHeight="1">
      <c r="B3" s="392"/>
      <c r="C3" s="393"/>
      <c r="D3" s="393"/>
      <c r="E3" s="667"/>
      <c r="F3" s="667"/>
      <c r="G3" s="667"/>
      <c r="H3" s="667"/>
      <c r="I3" s="667"/>
      <c r="J3" s="667"/>
      <c r="K3" s="394"/>
    </row>
    <row r="4" spans="1:19" ht="34.15" customHeight="1" thickBot="1">
      <c r="B4" s="395"/>
      <c r="C4" s="396"/>
      <c r="D4" s="396"/>
      <c r="E4" s="668"/>
      <c r="F4" s="668"/>
      <c r="G4" s="668"/>
      <c r="H4" s="668"/>
      <c r="I4" s="668"/>
      <c r="J4" s="668"/>
      <c r="K4" s="397"/>
    </row>
    <row r="5" spans="1:19" ht="15.75" thickBot="1"/>
    <row r="6" spans="1:19" s="21" customFormat="1" ht="21.75" thickBot="1">
      <c r="B6" s="18" t="str">
        <f ca="1">"Zusammenstellung Kennwerte Teilfläche "&amp;MID(CELL("dateiname",A1),SEARCH("]",CELL("dateiname",A1))+1,31)</f>
        <v>Zusammenstellung Kennwerte Teilfläche TF (9)</v>
      </c>
      <c r="C6" s="19"/>
      <c r="D6" s="48"/>
      <c r="E6" s="19"/>
      <c r="F6" s="19"/>
      <c r="G6" s="19"/>
      <c r="H6" s="19"/>
      <c r="I6" s="19"/>
      <c r="J6" s="19"/>
      <c r="K6" s="20"/>
      <c r="O6"/>
      <c r="P6"/>
      <c r="Q6"/>
      <c r="R6"/>
      <c r="S6"/>
    </row>
    <row r="7" spans="1:19" ht="15.75" thickBot="1"/>
    <row r="8" spans="1:19" s="21" customFormat="1" ht="21.75" thickBot="1">
      <c r="B8" s="18" t="s">
        <v>26</v>
      </c>
      <c r="C8" s="19"/>
      <c r="D8" s="48"/>
      <c r="E8" s="19"/>
      <c r="F8" s="19"/>
      <c r="G8" s="19"/>
      <c r="H8" s="19"/>
      <c r="I8" s="19"/>
      <c r="J8" s="19"/>
      <c r="K8" s="20"/>
      <c r="O8"/>
      <c r="P8"/>
      <c r="Q8"/>
      <c r="R8"/>
      <c r="S8"/>
    </row>
    <row r="9" spans="1:19" s="28" customFormat="1" ht="19.899999999999999" customHeight="1">
      <c r="B9" s="551" t="str">
        <f>Bericht!B7</f>
        <v>Projektname</v>
      </c>
      <c r="C9" s="552"/>
      <c r="D9" s="415"/>
      <c r="E9" s="669">
        <f>_Projektname</f>
        <v>0</v>
      </c>
      <c r="F9" s="669"/>
      <c r="G9" s="426"/>
      <c r="H9" s="649" t="str">
        <f>Bericht!J7</f>
        <v>Netzversorger:</v>
      </c>
      <c r="I9" s="649"/>
      <c r="J9" s="649"/>
      <c r="K9" s="138" t="str">
        <f>_Netzversorger</f>
        <v>ckw</v>
      </c>
    </row>
    <row r="10" spans="1:19" s="28" customFormat="1" ht="19.899999999999999" customHeight="1">
      <c r="B10" s="553" t="str">
        <f>Bericht!B8</f>
        <v>Adresse</v>
      </c>
      <c r="C10" s="554"/>
      <c r="D10" s="416"/>
      <c r="E10" s="670">
        <f>_Adresse</f>
        <v>0</v>
      </c>
      <c r="F10" s="670"/>
      <c r="G10" s="427"/>
      <c r="H10" s="650" t="str">
        <f>Bericht!J8</f>
        <v>Geplantes Datum Fertigstellung:</v>
      </c>
      <c r="I10" s="650"/>
      <c r="J10" s="650"/>
      <c r="K10" s="139">
        <f>_Datum_IBS</f>
        <v>0</v>
      </c>
      <c r="L10" s="410"/>
    </row>
    <row r="11" spans="1:19" s="28" customFormat="1" ht="19.899999999999999" customHeight="1">
      <c r="B11" s="553" t="str">
        <f>Bericht!B9</f>
        <v>PLZ Ort</v>
      </c>
      <c r="C11" s="554"/>
      <c r="D11" s="416"/>
      <c r="E11" s="670">
        <f>_PLZ</f>
        <v>0</v>
      </c>
      <c r="F11" s="670"/>
      <c r="G11" s="427"/>
      <c r="H11" s="650" t="s">
        <v>277</v>
      </c>
      <c r="I11" s="650"/>
      <c r="J11" s="650"/>
      <c r="K11" s="409">
        <f>_Letzte_REV</f>
        <v>46042</v>
      </c>
      <c r="L11" s="411"/>
    </row>
    <row r="12" spans="1:19" s="28" customFormat="1" ht="19.899999999999999" customHeight="1" thickBot="1">
      <c r="B12" s="680" t="s">
        <v>138</v>
      </c>
      <c r="C12" s="681"/>
      <c r="D12" s="31"/>
      <c r="E12" s="556">
        <f>Bericht!D10</f>
        <v>0</v>
      </c>
      <c r="F12" s="556"/>
      <c r="G12" s="428"/>
      <c r="H12" s="31" t="s">
        <v>278</v>
      </c>
      <c r="I12" s="31"/>
      <c r="J12" s="31"/>
      <c r="K12" s="358">
        <f>_Nächste_REV</f>
        <v>46357</v>
      </c>
      <c r="L12" s="411"/>
    </row>
    <row r="13" spans="1:19" ht="15.75" thickBot="1"/>
    <row r="14" spans="1:19" s="21" customFormat="1" ht="21.75" thickBot="1">
      <c r="B14" s="18" t="s">
        <v>75</v>
      </c>
      <c r="C14" s="19"/>
      <c r="D14" s="48"/>
      <c r="E14" s="19"/>
      <c r="F14" s="19"/>
      <c r="G14" s="19"/>
      <c r="H14" s="19"/>
      <c r="I14" s="19"/>
      <c r="J14" s="19"/>
      <c r="K14" s="20"/>
      <c r="O14"/>
      <c r="P14"/>
      <c r="Q14"/>
      <c r="R14"/>
      <c r="S14"/>
    </row>
    <row r="15" spans="1:19" s="28" customFormat="1" ht="19.899999999999999" customHeight="1">
      <c r="B15" s="40" t="s">
        <v>93</v>
      </c>
      <c r="C15" s="41"/>
      <c r="D15" s="42" t="s">
        <v>155</v>
      </c>
      <c r="E15" s="679"/>
      <c r="F15" s="679"/>
      <c r="G15" s="41"/>
      <c r="H15" s="41"/>
      <c r="I15" s="41"/>
      <c r="J15" s="41"/>
      <c r="K15" s="39"/>
    </row>
    <row r="16" spans="1:19" s="28" customFormat="1" ht="19.899999999999999" customHeight="1">
      <c r="B16" s="682" t="s">
        <v>355</v>
      </c>
      <c r="C16" s="616"/>
      <c r="D16" s="66" t="s">
        <v>366</v>
      </c>
      <c r="E16" s="489" t="s">
        <v>358</v>
      </c>
      <c r="F16" s="29"/>
      <c r="G16" s="73" t="s">
        <v>356</v>
      </c>
      <c r="H16" s="73"/>
      <c r="I16" s="73"/>
      <c r="J16" s="73"/>
      <c r="K16" s="74"/>
      <c r="M16" s="28" t="s">
        <v>357</v>
      </c>
    </row>
    <row r="17" spans="2:19" s="28" customFormat="1" ht="19.899999999999999" customHeight="1">
      <c r="B17" s="72" t="s">
        <v>96</v>
      </c>
      <c r="C17" s="73"/>
      <c r="D17" s="66" t="s">
        <v>129</v>
      </c>
      <c r="E17" s="270"/>
      <c r="F17" s="65" t="s">
        <v>127</v>
      </c>
      <c r="G17" s="73" t="s">
        <v>234</v>
      </c>
      <c r="H17" s="73"/>
      <c r="I17" s="73"/>
      <c r="J17" s="73"/>
      <c r="K17" s="74"/>
      <c r="M17" s="28" t="s">
        <v>358</v>
      </c>
    </row>
    <row r="18" spans="2:19" s="28" customFormat="1" ht="19.899999999999999" customHeight="1">
      <c r="B18" s="33" t="s">
        <v>94</v>
      </c>
      <c r="C18" s="35"/>
      <c r="D18" s="34" t="s">
        <v>37</v>
      </c>
      <c r="E18" s="271"/>
      <c r="F18" s="29" t="s">
        <v>54</v>
      </c>
      <c r="G18" s="35" t="s">
        <v>67</v>
      </c>
      <c r="H18" s="35"/>
      <c r="I18" s="35"/>
      <c r="J18" s="35"/>
      <c r="K18" s="30"/>
    </row>
    <row r="19" spans="2:19" s="28" customFormat="1" ht="19.899999999999999" customHeight="1" thickBot="1">
      <c r="B19" s="36" t="s">
        <v>95</v>
      </c>
      <c r="C19" s="37"/>
      <c r="D19" s="71" t="s">
        <v>38</v>
      </c>
      <c r="E19" s="272"/>
      <c r="F19" s="31" t="s">
        <v>54</v>
      </c>
      <c r="G19" s="37" t="s">
        <v>68</v>
      </c>
      <c r="H19" s="37"/>
      <c r="I19" s="37"/>
      <c r="J19" s="37"/>
      <c r="K19" s="32"/>
    </row>
    <row r="20" spans="2:19" s="23" customFormat="1" ht="15" hidden="1" customHeight="1">
      <c r="C20" s="23" t="s">
        <v>74</v>
      </c>
      <c r="E20" s="23">
        <f>RADIANS(E18)</f>
        <v>0</v>
      </c>
    </row>
    <row r="21" spans="2:19" s="23" customFormat="1" ht="15" hidden="1">
      <c r="C21" s="23" t="s">
        <v>71</v>
      </c>
      <c r="E21" s="23">
        <f>-RADIANS(E19)</f>
        <v>0</v>
      </c>
    </row>
    <row r="22" spans="2:19" ht="15.75" thickBot="1"/>
    <row r="23" spans="2:19" s="21" customFormat="1" ht="21.75" thickBot="1">
      <c r="B23" s="18" t="s">
        <v>50</v>
      </c>
      <c r="C23" s="19"/>
      <c r="D23" s="48"/>
      <c r="E23" s="19"/>
      <c r="F23" s="19"/>
      <c r="G23" s="19"/>
      <c r="H23" s="19"/>
      <c r="I23" s="19"/>
      <c r="J23" s="19"/>
      <c r="K23" s="20"/>
      <c r="O23"/>
      <c r="P23"/>
      <c r="Q23"/>
      <c r="R23"/>
      <c r="S23"/>
    </row>
    <row r="24" spans="2:19" s="28" customFormat="1" ht="19.899999999999999" customHeight="1">
      <c r="B24" s="40" t="s">
        <v>51</v>
      </c>
      <c r="C24" s="41"/>
      <c r="D24" s="42" t="s">
        <v>76</v>
      </c>
      <c r="E24" s="687" t="s">
        <v>105</v>
      </c>
      <c r="F24" s="687"/>
      <c r="G24" s="41" t="s">
        <v>104</v>
      </c>
      <c r="H24" s="41" t="s">
        <v>105</v>
      </c>
      <c r="I24" s="41"/>
      <c r="J24" s="41"/>
      <c r="K24" s="39"/>
    </row>
    <row r="25" spans="2:19" s="28" customFormat="1" ht="19.899999999999999" customHeight="1">
      <c r="B25" s="72" t="s">
        <v>229</v>
      </c>
      <c r="C25" s="73"/>
      <c r="D25" s="66" t="s">
        <v>235</v>
      </c>
      <c r="E25" s="485" t="str">
        <f>IF((ABS($E18)+_AbweichungNord)&gt;180,"Satiniert","Standard")</f>
        <v>Standard</v>
      </c>
      <c r="F25" s="485"/>
      <c r="G25" s="73"/>
      <c r="H25" s="73"/>
      <c r="I25" s="73"/>
      <c r="J25" s="73"/>
      <c r="K25" s="74"/>
    </row>
    <row r="26" spans="2:19" s="28" customFormat="1" ht="19.899999999999999" customHeight="1">
      <c r="B26" s="33" t="s">
        <v>49</v>
      </c>
      <c r="C26" s="35"/>
      <c r="D26" s="34" t="s">
        <v>40</v>
      </c>
      <c r="E26" s="29">
        <f>IF((ABS($E18)+_AbweichungNord)&gt;180,_Modulleistung_Satin,_Modulleistung_Standard)</f>
        <v>485</v>
      </c>
      <c r="F26" s="29" t="s">
        <v>58</v>
      </c>
      <c r="G26" s="35" t="str">
        <f ca="1">"Modulleistung definiert im Tab "&amp;Datengrundlage!A1&amp;""</f>
        <v>Modulleistung definiert im Tab Datengrundlage</v>
      </c>
      <c r="H26" s="35"/>
      <c r="I26" s="35"/>
      <c r="J26" s="35"/>
      <c r="K26" s="30"/>
    </row>
    <row r="27" spans="2:19" s="28" customFormat="1" ht="19.899999999999999" customHeight="1">
      <c r="B27" s="33" t="s">
        <v>196</v>
      </c>
      <c r="C27" s="35"/>
      <c r="D27" s="34" t="s">
        <v>97</v>
      </c>
      <c r="E27" s="273"/>
      <c r="F27" s="29" t="s">
        <v>99</v>
      </c>
      <c r="G27" s="35" t="s">
        <v>202</v>
      </c>
      <c r="H27" s="35"/>
      <c r="I27" s="35"/>
      <c r="J27" s="35"/>
      <c r="K27" s="30"/>
    </row>
    <row r="28" spans="2:19" s="28" customFormat="1" ht="19.899999999999999" customHeight="1" thickBot="1">
      <c r="B28" s="36" t="s">
        <v>195</v>
      </c>
      <c r="C28" s="37"/>
      <c r="D28" s="71" t="s">
        <v>154</v>
      </c>
      <c r="E28" s="313">
        <f>E27</f>
        <v>0</v>
      </c>
      <c r="F28" s="31" t="s">
        <v>99</v>
      </c>
      <c r="G28" s="37" t="s">
        <v>203</v>
      </c>
      <c r="H28" s="37"/>
      <c r="I28" s="37"/>
      <c r="J28" s="37"/>
      <c r="K28" s="32"/>
    </row>
    <row r="29" spans="2:19" ht="15.75" thickBot="1"/>
    <row r="30" spans="2:19" s="21" customFormat="1" ht="21.75" thickBot="1">
      <c r="B30" s="18" t="s">
        <v>281</v>
      </c>
      <c r="C30" s="19"/>
      <c r="D30" s="48"/>
      <c r="E30" s="19"/>
      <c r="F30" s="19"/>
      <c r="G30" s="19"/>
      <c r="H30" s="19"/>
      <c r="I30" s="19"/>
      <c r="J30" s="19"/>
      <c r="K30" s="20"/>
      <c r="O30"/>
      <c r="P30"/>
      <c r="Q30"/>
      <c r="R30"/>
      <c r="S30"/>
    </row>
    <row r="31" spans="2:19" s="28" customFormat="1" ht="19.899999999999999" customHeight="1">
      <c r="B31" s="40" t="s">
        <v>120</v>
      </c>
      <c r="C31" s="41"/>
      <c r="D31" s="42"/>
      <c r="E31" s="76">
        <f>_Spez_Ertrag_Standort</f>
        <v>900</v>
      </c>
      <c r="F31" s="75" t="s">
        <v>123</v>
      </c>
      <c r="G31" s="41" t="str">
        <f>"Spez. Ertrag am Standort"</f>
        <v>Spez. Ertrag am Standort</v>
      </c>
      <c r="H31" s="41"/>
      <c r="I31" s="41"/>
      <c r="J31" s="41"/>
      <c r="K31" s="39"/>
    </row>
    <row r="32" spans="2:19" s="28" customFormat="1" ht="19.899999999999999" customHeight="1">
      <c r="B32" s="33" t="s">
        <v>119</v>
      </c>
      <c r="C32" s="35"/>
      <c r="D32" s="34"/>
      <c r="E32" s="77" cm="1">
        <f t="array" ref="E32">INDEX(_Faktor_Ausrichtung,ROUND(((E19/_RasterNeigung))+1,0),ROUND((((E18)/_RasterAzimut))+180/_RasterAzimut+1,0),1)</f>
        <v>1</v>
      </c>
      <c r="F32" s="29"/>
      <c r="G32" s="35" t="s">
        <v>115</v>
      </c>
      <c r="H32" s="35"/>
      <c r="I32" s="35"/>
      <c r="J32" s="35"/>
      <c r="K32" s="30"/>
    </row>
    <row r="33" spans="2:19" s="44" customFormat="1" ht="19.899999999999999" hidden="1" customHeight="1">
      <c r="B33" s="43" t="s">
        <v>121</v>
      </c>
      <c r="C33" s="34"/>
      <c r="D33" s="34"/>
      <c r="E33" s="47">
        <f>E31*E32</f>
        <v>900</v>
      </c>
      <c r="F33" s="45" t="s">
        <v>123</v>
      </c>
      <c r="G33" s="34" t="s">
        <v>116</v>
      </c>
      <c r="H33" s="34"/>
      <c r="I33" s="34"/>
      <c r="J33" s="34"/>
      <c r="K33" s="46"/>
    </row>
    <row r="34" spans="2:19" s="28" customFormat="1" ht="19.899999999999999" customHeight="1">
      <c r="B34" s="33" t="s">
        <v>148</v>
      </c>
      <c r="C34" s="35"/>
      <c r="D34" s="34" t="s">
        <v>151</v>
      </c>
      <c r="E34" s="314"/>
      <c r="F34" s="29" t="s">
        <v>123</v>
      </c>
      <c r="G34" s="35" t="s">
        <v>117</v>
      </c>
      <c r="H34" s="35"/>
      <c r="I34" s="35"/>
      <c r="J34" s="35"/>
      <c r="K34" s="30"/>
    </row>
    <row r="35" spans="2:19" s="28" customFormat="1" ht="19.899999999999999" customHeight="1" thickBot="1">
      <c r="B35" s="36" t="s">
        <v>122</v>
      </c>
      <c r="C35" s="37"/>
      <c r="D35" s="71" t="s">
        <v>77</v>
      </c>
      <c r="E35" s="78">
        <f>IF(ISNUMBER(E34),E34,E33)</f>
        <v>900</v>
      </c>
      <c r="F35" s="31" t="s">
        <v>123</v>
      </c>
      <c r="G35" s="37" t="s">
        <v>118</v>
      </c>
      <c r="H35" s="37"/>
      <c r="I35" s="37"/>
      <c r="J35" s="37"/>
      <c r="K35" s="32"/>
    </row>
    <row r="36" spans="2:19" ht="15.75" thickBot="1"/>
    <row r="37" spans="2:19" s="21" customFormat="1" ht="21.75" thickBot="1">
      <c r="B37" s="18" t="s">
        <v>350</v>
      </c>
      <c r="C37" s="19"/>
      <c r="D37" s="48"/>
      <c r="E37" s="19"/>
      <c r="F37" s="19"/>
      <c r="G37" s="19"/>
      <c r="H37" s="19"/>
      <c r="I37" s="19"/>
      <c r="J37" s="19"/>
      <c r="K37" s="20"/>
      <c r="O37"/>
      <c r="P37"/>
      <c r="Q37"/>
      <c r="R37"/>
      <c r="S37"/>
    </row>
    <row r="38" spans="2:19" s="28" customFormat="1" ht="19.899999999999999" customHeight="1">
      <c r="B38" s="40" t="s">
        <v>351</v>
      </c>
      <c r="C38" s="41"/>
      <c r="D38" s="42" t="s">
        <v>365</v>
      </c>
      <c r="E38" s="76">
        <f>IF(AND(E19&gt;=_Neigungswinkel_für_NB_Bund,E19&lt;=90),E27*E26/1000*_Neigungswinkelbonus_Bund,0)</f>
        <v>0</v>
      </c>
      <c r="F38" s="483" t="s">
        <v>353</v>
      </c>
      <c r="G38" s="41"/>
      <c r="H38" s="76">
        <f>IF(AND(E19&gt;=_Neigungswinkel_für_NB_Bund,E19&lt;=90),E28*E26/1000*_Neigungswinkelbonus_Bund,0)</f>
        <v>0</v>
      </c>
      <c r="I38" s="41" t="s">
        <v>354</v>
      </c>
      <c r="J38" s="41"/>
      <c r="K38" s="39"/>
    </row>
    <row r="39" spans="2:19" s="28" customFormat="1" ht="19.899999999999999" customHeight="1">
      <c r="B39" s="33" t="s">
        <v>359</v>
      </c>
      <c r="C39" s="35"/>
      <c r="D39" s="34" t="s">
        <v>364</v>
      </c>
      <c r="E39" s="482">
        <f>IFERROR(IF(AND(E16=M16,E27*E26/1000&gt;=_Schwelle_PPBonus),E27*E26/1000*_Parkplatzbonus_pronovo,0),0)</f>
        <v>0</v>
      </c>
      <c r="F39" s="29" t="s">
        <v>353</v>
      </c>
      <c r="G39" s="35"/>
      <c r="H39" s="482">
        <f>IFERROR(IF(AND(E16=M16,E28*E26/1000&gt;=_Schwelle_PPBonus),E28*E26/1000*_Parkplatzbonus_pronovo,0),0)</f>
        <v>0</v>
      </c>
      <c r="I39" s="35" t="s">
        <v>354</v>
      </c>
      <c r="J39" s="35"/>
      <c r="K39" s="30"/>
    </row>
    <row r="40" spans="2:19" s="28" customFormat="1" ht="19.899999999999999" customHeight="1">
      <c r="B40" s="33" t="s">
        <v>352</v>
      </c>
      <c r="C40" s="35"/>
      <c r="D40" s="34" t="s">
        <v>362</v>
      </c>
      <c r="E40" s="482">
        <f>IFERROR(IF(AND(E19&gt;=_Neigungswinkel_für_NB_Bund,E19&lt;=90),E27*_Modullänge_Standard*_Modulbreite_Standard*_ZuschlagSteil_Stadt,0),0)</f>
        <v>0</v>
      </c>
      <c r="F40" s="29" t="s">
        <v>353</v>
      </c>
      <c r="G40" s="35"/>
      <c r="H40" s="482">
        <f>IFERROR(IF(AND(E19&gt;=_Neigungswinkel_für_NB_Bund,E19&lt;=90),E28*_Modullänge_Standard*_Modulbreite_Standard*_ZuschlagSteil_Stadt,0),0)</f>
        <v>0</v>
      </c>
      <c r="I40" s="35" t="s">
        <v>354</v>
      </c>
      <c r="J40" s="35"/>
      <c r="K40" s="30"/>
    </row>
    <row r="41" spans="2:19" s="28" customFormat="1" ht="19.899999999999999" customHeight="1" thickBot="1">
      <c r="B41" s="36" t="s">
        <v>337</v>
      </c>
      <c r="C41" s="37"/>
      <c r="D41" s="71" t="s">
        <v>363</v>
      </c>
      <c r="E41" s="78">
        <f>IF(AND((ABS($E18)+_AbweichungNord)&gt;=180,E19&lt;_Neigungswinkel_für_NB_Bund),E27*E26/1000*_ZuschlagNord_Stadt,0)</f>
        <v>0</v>
      </c>
      <c r="F41" s="31" t="s">
        <v>353</v>
      </c>
      <c r="G41" s="37"/>
      <c r="H41" s="78">
        <f>IF(AND((ABS($E18)+_AbweichungNord)&gt;=180,E19&lt;_Neigungswinkel_für_NB_Bund),E28*E26/1000*_ZuschlagNord_Stadt,0)</f>
        <v>0</v>
      </c>
      <c r="I41" s="37" t="s">
        <v>354</v>
      </c>
      <c r="J41" s="37"/>
      <c r="K41" s="32"/>
    </row>
    <row r="42" spans="2:19" ht="15.75" thickBot="1"/>
    <row r="43" spans="2:19" s="21" customFormat="1" ht="21.75" thickBot="1">
      <c r="B43" s="18" t="s">
        <v>189</v>
      </c>
      <c r="C43" s="19"/>
      <c r="D43" s="48"/>
      <c r="E43" s="19"/>
      <c r="F43" s="19"/>
      <c r="G43" s="19"/>
      <c r="H43" s="19"/>
      <c r="I43" s="19"/>
      <c r="J43" s="19"/>
      <c r="K43" s="20"/>
      <c r="O43"/>
      <c r="P43"/>
      <c r="Q43"/>
      <c r="R43"/>
      <c r="S43"/>
    </row>
    <row r="44" spans="2:19" s="23" customFormat="1" ht="15" hidden="1">
      <c r="B44" s="79"/>
      <c r="D44" s="23" t="s">
        <v>84</v>
      </c>
      <c r="F44" s="23">
        <v>-90</v>
      </c>
      <c r="G44" s="23">
        <v>-180</v>
      </c>
      <c r="H44" s="23">
        <v>90</v>
      </c>
      <c r="K44" s="80"/>
    </row>
    <row r="45" spans="2:19" s="23" customFormat="1" ht="15" hidden="1">
      <c r="B45" s="79"/>
      <c r="D45" s="23" t="s">
        <v>69</v>
      </c>
      <c r="F45" s="81">
        <f>RADIANS(F44)</f>
        <v>-1.5707963267948966</v>
      </c>
      <c r="G45" s="81">
        <f t="shared" ref="G45:H45" si="0">RADIANS(G44)</f>
        <v>-3.1415926535897931</v>
      </c>
      <c r="H45" s="81">
        <f t="shared" si="0"/>
        <v>1.5707963267948966</v>
      </c>
      <c r="K45" s="80"/>
    </row>
    <row r="46" spans="2:19" s="23" customFormat="1" ht="15" hidden="1">
      <c r="B46" s="79"/>
      <c r="D46" s="23" t="s">
        <v>70</v>
      </c>
      <c r="F46" s="23">
        <v>1</v>
      </c>
      <c r="G46" s="23">
        <v>3</v>
      </c>
      <c r="H46" s="23">
        <v>1</v>
      </c>
      <c r="K46" s="80"/>
    </row>
    <row r="47" spans="2:19" s="23" customFormat="1" ht="15" hidden="1">
      <c r="B47" s="79"/>
      <c r="D47" s="23" t="s">
        <v>85</v>
      </c>
      <c r="F47" s="82">
        <f>$F$46*SIN(ATAN(1/$F$46))/SIN(ASIN(SIN($E$21)*COS($F$45-PI()+$E$20))+ATAN(1/$F$46))</f>
        <v>1</v>
      </c>
      <c r="G47" s="82">
        <f>$G$46*SIN(ATAN(1/$G$46))/SIN(ASIN(SIN(-$E$21)*COS($G$45-PI()+$E$20))+ATAN(1/$G$46))</f>
        <v>3</v>
      </c>
      <c r="H47" s="82">
        <f>$H$46*SIN(ATAN(1/$H$46))/SIN(ASIN(SIN($E$21)*COS($H$45-PI()+$E$20))+ATAN(1/$H$46))</f>
        <v>1</v>
      </c>
      <c r="K47" s="80"/>
    </row>
    <row r="48" spans="2:19" s="23" customFormat="1" ht="15" hidden="1">
      <c r="B48" s="79"/>
      <c r="D48" s="23" t="s">
        <v>72</v>
      </c>
      <c r="F48" s="81">
        <f>ASIN(SIN($E$21)*COS(F45-$E$20))</f>
        <v>0</v>
      </c>
      <c r="G48" s="81">
        <f>ASIN(SIN($E$21)*COS(G45-$E$20))</f>
        <v>0</v>
      </c>
      <c r="H48" s="81">
        <f>ASIN(SIN($E$21)*COS(H45-$E$20))</f>
        <v>0</v>
      </c>
      <c r="K48" s="80"/>
    </row>
    <row r="49" spans="2:11" s="23" customFormat="1" ht="15" hidden="1">
      <c r="B49" s="79"/>
      <c r="D49" s="23" t="s">
        <v>73</v>
      </c>
      <c r="F49" s="83">
        <f>F48*180/PI()</f>
        <v>0</v>
      </c>
      <c r="G49" s="83">
        <f t="shared" ref="G49:H49" si="1">G48*180/PI()</f>
        <v>0</v>
      </c>
      <c r="H49" s="83">
        <f t="shared" si="1"/>
        <v>0</v>
      </c>
      <c r="K49" s="80"/>
    </row>
    <row r="50" spans="2:11" s="262" customFormat="1" ht="59.45" customHeight="1">
      <c r="B50" s="684" t="str">
        <f>"Zum Dachrand, sowie um Dachaufbauten wie Fenster, Lukarnen, Kamine, Lüftungsrohre etc. dürfen Abstände von "&amp;_Modul_Randabstand&amp;" m berücksichtigt werden. Die Verschattungsabstände durch hohe Objekte können zudem gemäss Kallkulation nach untenstehender Tabelle berücksichtigt werden. (Abstände auf der Dachfläche in die entsprechende Himmelsrichtung)"</f>
        <v>Zum Dachrand, sowie um Dachaufbauten wie Fenster, Lukarnen, Kamine, Lüftungsrohre etc. dürfen Abstände von 0.2 m berücksichtigt werden. Die Verschattungsabstände durch hohe Objekte können zudem gemäss Kallkulation nach untenstehender Tabelle berücksichtigt werden. (Abstände auf der Dachfläche in die entsprechende Himmelsrichtung)</v>
      </c>
      <c r="C50" s="685"/>
      <c r="D50" s="685"/>
      <c r="E50" s="685"/>
      <c r="F50" s="685"/>
      <c r="G50" s="685"/>
      <c r="H50" s="685"/>
      <c r="I50" s="685"/>
      <c r="J50" s="685"/>
      <c r="K50" s="686"/>
    </row>
    <row r="51" spans="2:11" s="28" customFormat="1" ht="19.899999999999999" customHeight="1">
      <c r="B51" s="49"/>
      <c r="C51" s="50"/>
      <c r="D51" s="51"/>
      <c r="E51" s="84"/>
      <c r="F51" s="683" t="s">
        <v>87</v>
      </c>
      <c r="G51" s="683"/>
      <c r="H51" s="683"/>
      <c r="K51" s="86"/>
    </row>
    <row r="52" spans="2:11" s="28" customFormat="1" ht="19.899999999999999" customHeight="1">
      <c r="B52" s="49" t="s">
        <v>91</v>
      </c>
      <c r="C52" s="50" t="s">
        <v>20</v>
      </c>
      <c r="D52" s="51"/>
      <c r="E52" s="87" t="s">
        <v>114</v>
      </c>
      <c r="F52" s="85" t="s">
        <v>88</v>
      </c>
      <c r="G52" s="85" t="s">
        <v>89</v>
      </c>
      <c r="H52" s="85" t="s">
        <v>90</v>
      </c>
      <c r="K52" s="86"/>
    </row>
    <row r="53" spans="2:11" s="28" customFormat="1" ht="19.899999999999999" customHeight="1">
      <c r="B53" s="88" t="s">
        <v>92</v>
      </c>
      <c r="C53" s="89"/>
      <c r="D53" s="90"/>
      <c r="E53" s="91" t="s">
        <v>86</v>
      </c>
      <c r="F53" s="91" t="s">
        <v>86</v>
      </c>
      <c r="G53" s="91" t="s">
        <v>86</v>
      </c>
      <c r="H53" s="91" t="s">
        <v>86</v>
      </c>
      <c r="I53" s="92"/>
      <c r="J53" s="92"/>
      <c r="K53" s="93"/>
    </row>
    <row r="54" spans="2:11" s="28" customFormat="1" ht="19.899999999999999" customHeight="1">
      <c r="B54" s="94">
        <v>1</v>
      </c>
      <c r="C54" s="315"/>
      <c r="D54" s="315"/>
      <c r="E54" s="316"/>
      <c r="F54" s="95" t="str">
        <f t="shared" ref="F54:F65" si="2">IF(ISNUMBER($E54),$E54*IF($F$47&gt;0,MIN($F$46:$F$47),MAX($F$46:$F$47)),"")</f>
        <v/>
      </c>
      <c r="G54" s="95" t="str">
        <f t="shared" ref="G54:G65" si="3">IF(ISNUMBER($E54),$E54*IF($G$47&gt;0,MIN($G$46:$G$47),MAX($G$46:$G$47)),"")</f>
        <v/>
      </c>
      <c r="H54" s="95" t="str">
        <f t="shared" ref="H54:H65" si="4">IF(ISNUMBER($E54),$E54*IF($H$47&gt;0,MIN($H$46:$H$47),MAX($H$46:$H$47)),"")</f>
        <v/>
      </c>
      <c r="I54" s="73"/>
      <c r="J54" s="73"/>
      <c r="K54" s="74"/>
    </row>
    <row r="55" spans="2:11" s="28" customFormat="1" ht="19.899999999999999" customHeight="1">
      <c r="B55" s="96">
        <v>2</v>
      </c>
      <c r="C55" s="317"/>
      <c r="D55" s="317"/>
      <c r="E55" s="318"/>
      <c r="F55" s="97" t="str">
        <f t="shared" si="2"/>
        <v/>
      </c>
      <c r="G55" s="97" t="str">
        <f t="shared" si="3"/>
        <v/>
      </c>
      <c r="H55" s="97" t="str">
        <f t="shared" si="4"/>
        <v/>
      </c>
      <c r="I55" s="35"/>
      <c r="J55" s="35"/>
      <c r="K55" s="30"/>
    </row>
    <row r="56" spans="2:11" s="28" customFormat="1" ht="19.899999999999999" customHeight="1">
      <c r="B56" s="96">
        <v>3</v>
      </c>
      <c r="C56" s="317"/>
      <c r="D56" s="317"/>
      <c r="E56" s="318"/>
      <c r="F56" s="97" t="str">
        <f t="shared" si="2"/>
        <v/>
      </c>
      <c r="G56" s="97" t="str">
        <f t="shared" si="3"/>
        <v/>
      </c>
      <c r="H56" s="97" t="str">
        <f t="shared" si="4"/>
        <v/>
      </c>
      <c r="I56" s="35"/>
      <c r="J56" s="35"/>
      <c r="K56" s="30"/>
    </row>
    <row r="57" spans="2:11" s="28" customFormat="1" ht="19.899999999999999" customHeight="1">
      <c r="B57" s="96">
        <v>4</v>
      </c>
      <c r="C57" s="317"/>
      <c r="D57" s="317"/>
      <c r="E57" s="318"/>
      <c r="F57" s="97" t="str">
        <f t="shared" si="2"/>
        <v/>
      </c>
      <c r="G57" s="97" t="str">
        <f t="shared" si="3"/>
        <v/>
      </c>
      <c r="H57" s="97" t="str">
        <f t="shared" si="4"/>
        <v/>
      </c>
      <c r="I57" s="35"/>
      <c r="J57" s="35"/>
      <c r="K57" s="30"/>
    </row>
    <row r="58" spans="2:11" s="28" customFormat="1" ht="19.899999999999999" customHeight="1">
      <c r="B58" s="96">
        <v>5</v>
      </c>
      <c r="C58" s="317"/>
      <c r="D58" s="317"/>
      <c r="E58" s="318"/>
      <c r="F58" s="97" t="str">
        <f t="shared" si="2"/>
        <v/>
      </c>
      <c r="G58" s="97" t="str">
        <f t="shared" si="3"/>
        <v/>
      </c>
      <c r="H58" s="97" t="str">
        <f t="shared" si="4"/>
        <v/>
      </c>
      <c r="I58" s="35"/>
      <c r="J58" s="35"/>
      <c r="K58" s="30"/>
    </row>
    <row r="59" spans="2:11" s="28" customFormat="1" ht="19.899999999999999" customHeight="1">
      <c r="B59" s="96">
        <v>6</v>
      </c>
      <c r="C59" s="317"/>
      <c r="D59" s="317"/>
      <c r="E59" s="318"/>
      <c r="F59" s="97" t="str">
        <f t="shared" si="2"/>
        <v/>
      </c>
      <c r="G59" s="97" t="str">
        <f t="shared" si="3"/>
        <v/>
      </c>
      <c r="H59" s="97" t="str">
        <f t="shared" si="4"/>
        <v/>
      </c>
      <c r="I59" s="35"/>
      <c r="J59" s="35"/>
      <c r="K59" s="30"/>
    </row>
    <row r="60" spans="2:11" s="28" customFormat="1" ht="19.899999999999999" customHeight="1">
      <c r="B60" s="96">
        <v>7</v>
      </c>
      <c r="C60" s="317"/>
      <c r="D60" s="317"/>
      <c r="E60" s="318"/>
      <c r="F60" s="97" t="str">
        <f t="shared" si="2"/>
        <v/>
      </c>
      <c r="G60" s="97" t="str">
        <f t="shared" si="3"/>
        <v/>
      </c>
      <c r="H60" s="97" t="str">
        <f t="shared" si="4"/>
        <v/>
      </c>
      <c r="I60" s="35"/>
      <c r="J60" s="35"/>
      <c r="K60" s="30"/>
    </row>
    <row r="61" spans="2:11" s="28" customFormat="1" ht="19.899999999999999" customHeight="1">
      <c r="B61" s="96">
        <v>8</v>
      </c>
      <c r="C61" s="317"/>
      <c r="D61" s="317"/>
      <c r="E61" s="318"/>
      <c r="F61" s="97" t="str">
        <f t="shared" si="2"/>
        <v/>
      </c>
      <c r="G61" s="97" t="str">
        <f t="shared" si="3"/>
        <v/>
      </c>
      <c r="H61" s="97" t="str">
        <f t="shared" si="4"/>
        <v/>
      </c>
      <c r="I61" s="35"/>
      <c r="J61" s="35"/>
      <c r="K61" s="30"/>
    </row>
    <row r="62" spans="2:11" s="28" customFormat="1" ht="19.899999999999999" customHeight="1">
      <c r="B62" s="96">
        <v>9</v>
      </c>
      <c r="C62" s="317"/>
      <c r="D62" s="317"/>
      <c r="E62" s="318"/>
      <c r="F62" s="97" t="str">
        <f t="shared" si="2"/>
        <v/>
      </c>
      <c r="G62" s="97" t="str">
        <f t="shared" si="3"/>
        <v/>
      </c>
      <c r="H62" s="97" t="str">
        <f t="shared" si="4"/>
        <v/>
      </c>
      <c r="I62" s="35"/>
      <c r="J62" s="35"/>
      <c r="K62" s="30"/>
    </row>
    <row r="63" spans="2:11" s="28" customFormat="1" ht="19.899999999999999" customHeight="1">
      <c r="B63" s="96">
        <v>10</v>
      </c>
      <c r="C63" s="317"/>
      <c r="D63" s="317"/>
      <c r="E63" s="318"/>
      <c r="F63" s="29" t="str">
        <f t="shared" si="2"/>
        <v/>
      </c>
      <c r="G63" s="29" t="str">
        <f t="shared" si="3"/>
        <v/>
      </c>
      <c r="H63" s="29" t="str">
        <f t="shared" si="4"/>
        <v/>
      </c>
      <c r="I63" s="35"/>
      <c r="J63" s="35"/>
      <c r="K63" s="30"/>
    </row>
    <row r="64" spans="2:11" s="28" customFormat="1" ht="19.899999999999999" customHeight="1">
      <c r="B64" s="96">
        <v>11</v>
      </c>
      <c r="C64" s="317"/>
      <c r="D64" s="317"/>
      <c r="E64" s="318"/>
      <c r="F64" s="29" t="str">
        <f t="shared" si="2"/>
        <v/>
      </c>
      <c r="G64" s="29" t="str">
        <f t="shared" si="3"/>
        <v/>
      </c>
      <c r="H64" s="29" t="str">
        <f t="shared" si="4"/>
        <v/>
      </c>
      <c r="I64" s="35"/>
      <c r="J64" s="35"/>
      <c r="K64" s="30"/>
    </row>
    <row r="65" spans="2:11" s="28" customFormat="1" ht="19.899999999999999" customHeight="1" thickBot="1">
      <c r="B65" s="98">
        <v>12</v>
      </c>
      <c r="C65" s="319"/>
      <c r="D65" s="319"/>
      <c r="E65" s="320"/>
      <c r="F65" s="31" t="str">
        <f t="shared" si="2"/>
        <v/>
      </c>
      <c r="G65" s="31" t="str">
        <f t="shared" si="3"/>
        <v/>
      </c>
      <c r="H65" s="31" t="str">
        <f t="shared" si="4"/>
        <v/>
      </c>
      <c r="I65" s="37"/>
      <c r="J65" s="37"/>
      <c r="K65" s="32"/>
    </row>
    <row r="66" spans="2:11" ht="15"/>
    <row r="67" spans="2:11" ht="15" hidden="1"/>
    <row r="68" spans="2:11" ht="14.45" customHeight="1"/>
  </sheetData>
  <sheetProtection algorithmName="SHA-512" hashValue="H8WhInQwRPDbiXTuCvCWIuwRweWGzIfwmwfVSF6WjHOxbAWXjMvCGTordwk5i7eAH72UYYDbk9tAYSLSfkZsiA==" saltValue="a7MMZgZ5UTKVtGM3oBuVmQ==" spinCount="100000" sheet="1" objects="1" scenarios="1" selectLockedCells="1" autoFilter="0"/>
  <mergeCells count="17">
    <mergeCell ref="E2:J4"/>
    <mergeCell ref="E11:F11"/>
    <mergeCell ref="B9:C9"/>
    <mergeCell ref="E9:F9"/>
    <mergeCell ref="H9:J9"/>
    <mergeCell ref="B10:C10"/>
    <mergeCell ref="E10:F10"/>
    <mergeCell ref="H10:J10"/>
    <mergeCell ref="H11:J11"/>
    <mergeCell ref="B11:C11"/>
    <mergeCell ref="B50:K50"/>
    <mergeCell ref="F51:H51"/>
    <mergeCell ref="B12:C12"/>
    <mergeCell ref="E12:F12"/>
    <mergeCell ref="E15:F15"/>
    <mergeCell ref="E24:F24"/>
    <mergeCell ref="B16:C16"/>
  </mergeCells>
  <dataValidations count="2">
    <dataValidation type="list" allowBlank="1" showInputMessage="1" showErrorMessage="1" sqref="E24" xr:uid="{00000000-0002-0000-0B00-000000000000}">
      <formula1>$G$24:$H$24</formula1>
    </dataValidation>
    <dataValidation type="list" allowBlank="1" showInputMessage="1" showErrorMessage="1" sqref="E16" xr:uid="{BB85F043-8D8E-4734-822F-24F24D76BF03}">
      <formula1>$M$16:$M$17</formula1>
    </dataValidation>
  </dataValidations>
  <pageMargins left="0.7" right="0.7" top="0.78740157499999996" bottom="0.78740157499999996" header="0.3" footer="0.3"/>
  <pageSetup paperSize="9" scale="64" orientation="portrait" r:id="rId1"/>
  <colBreaks count="1" manualBreakCount="1">
    <brk id="12" max="1048575"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S68"/>
  <sheetViews>
    <sheetView topLeftCell="A11" workbookViewId="0">
      <selection activeCell="E54" sqref="E54"/>
    </sheetView>
  </sheetViews>
  <sheetFormatPr baseColWidth="10" defaultColWidth="0" defaultRowHeight="14.45" customHeight="1" zeroHeight="1"/>
  <cols>
    <col min="1" max="1" width="4.7109375" customWidth="1"/>
    <col min="2" max="2" width="8.28515625" customWidth="1"/>
    <col min="3" max="3" width="24.85546875" customWidth="1"/>
    <col min="4" max="4" width="7.85546875" style="23" hidden="1" customWidth="1"/>
    <col min="5" max="5" width="12.28515625" customWidth="1"/>
    <col min="6" max="8" width="14.42578125" customWidth="1"/>
    <col min="9" max="10" width="11.42578125" customWidth="1"/>
    <col min="11" max="11" width="12.7109375" bestFit="1" customWidth="1"/>
    <col min="12" max="12" width="5.28515625" customWidth="1"/>
    <col min="13" max="16384" width="11.42578125" hidden="1"/>
  </cols>
  <sheetData>
    <row r="1" spans="1:19" ht="15.75" thickBot="1">
      <c r="A1" s="27" t="str">
        <f ca="1">MID(CELL("dateiname",A1),SEARCH("]",CELL("dateiname",A1))+1,31)</f>
        <v>TF (10)</v>
      </c>
    </row>
    <row r="2" spans="1:19" ht="15" customHeight="1">
      <c r="B2" s="389"/>
      <c r="C2" s="390"/>
      <c r="D2" s="390"/>
      <c r="E2" s="666" t="str">
        <f>_Dok_Titel</f>
        <v>Planungshilfe
Solar- und Photovoltaikanlagen auf Schrägdächern (Art. 77 Abs. 3 und 4 BZR)
Formular-Release 2.5</v>
      </c>
      <c r="F2" s="666"/>
      <c r="G2" s="666"/>
      <c r="H2" s="666"/>
      <c r="I2" s="666"/>
      <c r="J2" s="666"/>
      <c r="K2" s="391"/>
    </row>
    <row r="3" spans="1:19" ht="15" customHeight="1">
      <c r="B3" s="392"/>
      <c r="C3" s="393"/>
      <c r="D3" s="393"/>
      <c r="E3" s="667"/>
      <c r="F3" s="667"/>
      <c r="G3" s="667"/>
      <c r="H3" s="667"/>
      <c r="I3" s="667"/>
      <c r="J3" s="667"/>
      <c r="K3" s="394"/>
    </row>
    <row r="4" spans="1:19" ht="34.15" customHeight="1" thickBot="1">
      <c r="B4" s="395"/>
      <c r="C4" s="396"/>
      <c r="D4" s="396"/>
      <c r="E4" s="668"/>
      <c r="F4" s="668"/>
      <c r="G4" s="668"/>
      <c r="H4" s="668"/>
      <c r="I4" s="668"/>
      <c r="J4" s="668"/>
      <c r="K4" s="397"/>
    </row>
    <row r="5" spans="1:19" ht="15.75" thickBot="1"/>
    <row r="6" spans="1:19" s="21" customFormat="1" ht="21.75" thickBot="1">
      <c r="B6" s="18" t="str">
        <f ca="1">"Zusammenstellung Kennwerte Teilfläche "&amp;MID(CELL("dateiname",A1),SEARCH("]",CELL("dateiname",A1))+1,31)</f>
        <v>Zusammenstellung Kennwerte Teilfläche TF (10)</v>
      </c>
      <c r="C6" s="19"/>
      <c r="D6" s="48"/>
      <c r="E6" s="19"/>
      <c r="F6" s="19"/>
      <c r="G6" s="19"/>
      <c r="H6" s="19"/>
      <c r="I6" s="19"/>
      <c r="J6" s="19"/>
      <c r="K6" s="20"/>
      <c r="O6"/>
      <c r="P6"/>
      <c r="Q6"/>
      <c r="R6"/>
      <c r="S6"/>
    </row>
    <row r="7" spans="1:19" ht="15.75" thickBot="1"/>
    <row r="8" spans="1:19" s="21" customFormat="1" ht="21.75" thickBot="1">
      <c r="B8" s="18" t="s">
        <v>26</v>
      </c>
      <c r="C8" s="19"/>
      <c r="D8" s="48"/>
      <c r="E8" s="19"/>
      <c r="F8" s="19"/>
      <c r="G8" s="19"/>
      <c r="H8" s="19"/>
      <c r="I8" s="19"/>
      <c r="J8" s="19"/>
      <c r="K8" s="20"/>
      <c r="O8"/>
      <c r="P8"/>
      <c r="Q8"/>
      <c r="R8"/>
      <c r="S8"/>
    </row>
    <row r="9" spans="1:19" s="28" customFormat="1" ht="19.899999999999999" customHeight="1">
      <c r="B9" s="551" t="str">
        <f>Bericht!B7</f>
        <v>Projektname</v>
      </c>
      <c r="C9" s="552"/>
      <c r="D9" s="415"/>
      <c r="E9" s="669">
        <f>_Projektname</f>
        <v>0</v>
      </c>
      <c r="F9" s="669"/>
      <c r="G9" s="426"/>
      <c r="H9" s="649" t="str">
        <f>Bericht!J7</f>
        <v>Netzversorger:</v>
      </c>
      <c r="I9" s="649"/>
      <c r="J9" s="649"/>
      <c r="K9" s="138" t="str">
        <f>_Netzversorger</f>
        <v>ckw</v>
      </c>
    </row>
    <row r="10" spans="1:19" s="28" customFormat="1" ht="19.899999999999999" customHeight="1">
      <c r="B10" s="553" t="str">
        <f>Bericht!B8</f>
        <v>Adresse</v>
      </c>
      <c r="C10" s="554"/>
      <c r="D10" s="416"/>
      <c r="E10" s="670">
        <f>_Adresse</f>
        <v>0</v>
      </c>
      <c r="F10" s="670"/>
      <c r="G10" s="427"/>
      <c r="H10" s="650" t="str">
        <f>Bericht!J8</f>
        <v>Geplantes Datum Fertigstellung:</v>
      </c>
      <c r="I10" s="650"/>
      <c r="J10" s="650"/>
      <c r="K10" s="139">
        <f>_Datum_IBS</f>
        <v>0</v>
      </c>
      <c r="L10" s="410"/>
    </row>
    <row r="11" spans="1:19" s="28" customFormat="1" ht="19.899999999999999" customHeight="1">
      <c r="B11" s="553" t="str">
        <f>Bericht!B9</f>
        <v>PLZ Ort</v>
      </c>
      <c r="C11" s="554"/>
      <c r="D11" s="416"/>
      <c r="E11" s="670">
        <f>_PLZ</f>
        <v>0</v>
      </c>
      <c r="F11" s="670"/>
      <c r="G11" s="427"/>
      <c r="H11" s="650" t="s">
        <v>277</v>
      </c>
      <c r="I11" s="650"/>
      <c r="J11" s="650"/>
      <c r="K11" s="409">
        <f>_Letzte_REV</f>
        <v>46042</v>
      </c>
      <c r="L11" s="411"/>
    </row>
    <row r="12" spans="1:19" s="28" customFormat="1" ht="19.899999999999999" customHeight="1" thickBot="1">
      <c r="B12" s="680" t="s">
        <v>138</v>
      </c>
      <c r="C12" s="681"/>
      <c r="D12" s="31"/>
      <c r="E12" s="556">
        <f>Bericht!D10</f>
        <v>0</v>
      </c>
      <c r="F12" s="556"/>
      <c r="G12" s="428"/>
      <c r="H12" s="31" t="s">
        <v>278</v>
      </c>
      <c r="I12" s="31"/>
      <c r="J12" s="31"/>
      <c r="K12" s="358">
        <f>_Nächste_REV</f>
        <v>46357</v>
      </c>
      <c r="L12" s="411"/>
    </row>
    <row r="13" spans="1:19" ht="15.75" thickBot="1"/>
    <row r="14" spans="1:19" s="21" customFormat="1" ht="21.75" thickBot="1">
      <c r="B14" s="18" t="s">
        <v>75</v>
      </c>
      <c r="C14" s="19"/>
      <c r="D14" s="48"/>
      <c r="E14" s="19"/>
      <c r="F14" s="19"/>
      <c r="G14" s="19"/>
      <c r="H14" s="19"/>
      <c r="I14" s="19"/>
      <c r="J14" s="19"/>
      <c r="K14" s="20"/>
      <c r="O14"/>
      <c r="P14"/>
      <c r="Q14"/>
      <c r="R14"/>
      <c r="S14"/>
    </row>
    <row r="15" spans="1:19" s="28" customFormat="1" ht="19.899999999999999" customHeight="1">
      <c r="B15" s="40" t="s">
        <v>93</v>
      </c>
      <c r="C15" s="41"/>
      <c r="D15" s="42" t="s">
        <v>155</v>
      </c>
      <c r="E15" s="679"/>
      <c r="F15" s="679"/>
      <c r="G15" s="41"/>
      <c r="H15" s="41"/>
      <c r="I15" s="41"/>
      <c r="J15" s="41"/>
      <c r="K15" s="39"/>
    </row>
    <row r="16" spans="1:19" s="28" customFormat="1" ht="19.899999999999999" customHeight="1">
      <c r="B16" s="682" t="s">
        <v>355</v>
      </c>
      <c r="C16" s="616"/>
      <c r="D16" s="66" t="s">
        <v>366</v>
      </c>
      <c r="E16" s="489" t="s">
        <v>358</v>
      </c>
      <c r="F16" s="29"/>
      <c r="G16" s="73" t="s">
        <v>356</v>
      </c>
      <c r="H16" s="73"/>
      <c r="I16" s="73"/>
      <c r="J16" s="73"/>
      <c r="K16" s="74"/>
      <c r="M16" s="28" t="s">
        <v>357</v>
      </c>
    </row>
    <row r="17" spans="2:19" s="28" customFormat="1" ht="19.899999999999999" customHeight="1">
      <c r="B17" s="72" t="s">
        <v>96</v>
      </c>
      <c r="C17" s="73"/>
      <c r="D17" s="66" t="s">
        <v>129</v>
      </c>
      <c r="E17" s="270"/>
      <c r="F17" s="65" t="s">
        <v>127</v>
      </c>
      <c r="G17" s="73" t="s">
        <v>234</v>
      </c>
      <c r="H17" s="73"/>
      <c r="I17" s="73"/>
      <c r="J17" s="73"/>
      <c r="K17" s="74"/>
      <c r="M17" s="28" t="s">
        <v>358</v>
      </c>
    </row>
    <row r="18" spans="2:19" s="28" customFormat="1" ht="19.899999999999999" customHeight="1">
      <c r="B18" s="33" t="s">
        <v>94</v>
      </c>
      <c r="C18" s="35"/>
      <c r="D18" s="34" t="s">
        <v>37</v>
      </c>
      <c r="E18" s="271"/>
      <c r="F18" s="29" t="s">
        <v>54</v>
      </c>
      <c r="G18" s="35" t="s">
        <v>67</v>
      </c>
      <c r="H18" s="35"/>
      <c r="I18" s="35"/>
      <c r="J18" s="35"/>
      <c r="K18" s="30"/>
    </row>
    <row r="19" spans="2:19" s="28" customFormat="1" ht="19.899999999999999" customHeight="1" thickBot="1">
      <c r="B19" s="36" t="s">
        <v>95</v>
      </c>
      <c r="C19" s="37"/>
      <c r="D19" s="71" t="s">
        <v>38</v>
      </c>
      <c r="E19" s="272"/>
      <c r="F19" s="31" t="s">
        <v>54</v>
      </c>
      <c r="G19" s="37" t="s">
        <v>68</v>
      </c>
      <c r="H19" s="37"/>
      <c r="I19" s="37"/>
      <c r="J19" s="37"/>
      <c r="K19" s="32"/>
    </row>
    <row r="20" spans="2:19" s="23" customFormat="1" ht="15" hidden="1" customHeight="1">
      <c r="C20" s="23" t="s">
        <v>74</v>
      </c>
      <c r="E20" s="23">
        <f>RADIANS(E18)</f>
        <v>0</v>
      </c>
    </row>
    <row r="21" spans="2:19" s="23" customFormat="1" ht="15" hidden="1">
      <c r="C21" s="23" t="s">
        <v>71</v>
      </c>
      <c r="E21" s="23">
        <f>-RADIANS(E19)</f>
        <v>0</v>
      </c>
    </row>
    <row r="22" spans="2:19" ht="15.75" thickBot="1"/>
    <row r="23" spans="2:19" s="21" customFormat="1" ht="21.75" thickBot="1">
      <c r="B23" s="18" t="s">
        <v>50</v>
      </c>
      <c r="C23" s="19"/>
      <c r="D23" s="48"/>
      <c r="E23" s="19"/>
      <c r="F23" s="19"/>
      <c r="G23" s="19"/>
      <c r="H23" s="19"/>
      <c r="I23" s="19"/>
      <c r="J23" s="19"/>
      <c r="K23" s="20"/>
      <c r="O23"/>
      <c r="P23"/>
      <c r="Q23"/>
      <c r="R23"/>
      <c r="S23"/>
    </row>
    <row r="24" spans="2:19" s="28" customFormat="1" ht="19.899999999999999" customHeight="1">
      <c r="B24" s="40" t="s">
        <v>51</v>
      </c>
      <c r="C24" s="41"/>
      <c r="D24" s="42" t="s">
        <v>76</v>
      </c>
      <c r="E24" s="687" t="s">
        <v>105</v>
      </c>
      <c r="F24" s="687"/>
      <c r="G24" s="41" t="s">
        <v>104</v>
      </c>
      <c r="H24" s="41" t="s">
        <v>105</v>
      </c>
      <c r="I24" s="41"/>
      <c r="J24" s="41"/>
      <c r="K24" s="39"/>
    </row>
    <row r="25" spans="2:19" s="28" customFormat="1" ht="19.899999999999999" customHeight="1">
      <c r="B25" s="72" t="s">
        <v>229</v>
      </c>
      <c r="C25" s="73"/>
      <c r="D25" s="66" t="s">
        <v>235</v>
      </c>
      <c r="E25" s="485" t="str">
        <f>IF((ABS($E18)+_AbweichungNord)&gt;180,"Satiniert","Standard")</f>
        <v>Standard</v>
      </c>
      <c r="F25" s="485"/>
      <c r="G25" s="73"/>
      <c r="H25" s="73"/>
      <c r="I25" s="73"/>
      <c r="J25" s="73"/>
      <c r="K25" s="74"/>
    </row>
    <row r="26" spans="2:19" s="28" customFormat="1" ht="19.899999999999999" customHeight="1">
      <c r="B26" s="33" t="s">
        <v>49</v>
      </c>
      <c r="C26" s="35"/>
      <c r="D26" s="34" t="s">
        <v>40</v>
      </c>
      <c r="E26" s="29">
        <f>IF((ABS($E18)+_AbweichungNord)&gt;180,_Modulleistung_Satin,_Modulleistung_Standard)</f>
        <v>485</v>
      </c>
      <c r="F26" s="29" t="s">
        <v>58</v>
      </c>
      <c r="G26" s="35" t="str">
        <f ca="1">"Modulleistung definiert im Tab "&amp;Datengrundlage!A1&amp;""</f>
        <v>Modulleistung definiert im Tab Datengrundlage</v>
      </c>
      <c r="H26" s="35"/>
      <c r="I26" s="35"/>
      <c r="J26" s="35"/>
      <c r="K26" s="30"/>
    </row>
    <row r="27" spans="2:19" s="28" customFormat="1" ht="19.899999999999999" customHeight="1">
      <c r="B27" s="33" t="s">
        <v>196</v>
      </c>
      <c r="C27" s="35"/>
      <c r="D27" s="34" t="s">
        <v>97</v>
      </c>
      <c r="E27" s="273"/>
      <c r="F27" s="29" t="s">
        <v>99</v>
      </c>
      <c r="G27" s="35" t="s">
        <v>202</v>
      </c>
      <c r="H27" s="35"/>
      <c r="I27" s="35"/>
      <c r="J27" s="35"/>
      <c r="K27" s="30"/>
    </row>
    <row r="28" spans="2:19" s="28" customFormat="1" ht="19.899999999999999" customHeight="1" thickBot="1">
      <c r="B28" s="36" t="s">
        <v>195</v>
      </c>
      <c r="C28" s="37"/>
      <c r="D28" s="71" t="s">
        <v>154</v>
      </c>
      <c r="E28" s="313">
        <f>E27</f>
        <v>0</v>
      </c>
      <c r="F28" s="31" t="s">
        <v>99</v>
      </c>
      <c r="G28" s="37" t="s">
        <v>203</v>
      </c>
      <c r="H28" s="37"/>
      <c r="I28" s="37"/>
      <c r="J28" s="37"/>
      <c r="K28" s="32"/>
    </row>
    <row r="29" spans="2:19" ht="15.75" thickBot="1"/>
    <row r="30" spans="2:19" s="21" customFormat="1" ht="21.75" thickBot="1">
      <c r="B30" s="18" t="s">
        <v>281</v>
      </c>
      <c r="C30" s="19"/>
      <c r="D30" s="48"/>
      <c r="E30" s="19"/>
      <c r="F30" s="19"/>
      <c r="G30" s="19"/>
      <c r="H30" s="19"/>
      <c r="I30" s="19"/>
      <c r="J30" s="19"/>
      <c r="K30" s="20"/>
      <c r="O30"/>
      <c r="P30"/>
      <c r="Q30"/>
      <c r="R30"/>
      <c r="S30"/>
    </row>
    <row r="31" spans="2:19" s="28" customFormat="1" ht="19.899999999999999" customHeight="1">
      <c r="B31" s="40" t="s">
        <v>120</v>
      </c>
      <c r="C31" s="41"/>
      <c r="D31" s="42"/>
      <c r="E31" s="76">
        <f>_Spez_Ertrag_Standort</f>
        <v>900</v>
      </c>
      <c r="F31" s="75" t="s">
        <v>123</v>
      </c>
      <c r="G31" s="41" t="str">
        <f>"Spez. Ertrag am Standort"</f>
        <v>Spez. Ertrag am Standort</v>
      </c>
      <c r="H31" s="41"/>
      <c r="I31" s="41"/>
      <c r="J31" s="41"/>
      <c r="K31" s="39"/>
    </row>
    <row r="32" spans="2:19" s="28" customFormat="1" ht="19.899999999999999" customHeight="1">
      <c r="B32" s="33" t="s">
        <v>119</v>
      </c>
      <c r="C32" s="35"/>
      <c r="D32" s="34"/>
      <c r="E32" s="77" cm="1">
        <f t="array" ref="E32">INDEX(_Faktor_Ausrichtung,ROUND(((E19/_RasterNeigung))+1,0),ROUND((((E18)/_RasterAzimut))+180/_RasterAzimut+1,0),1)</f>
        <v>1</v>
      </c>
      <c r="F32" s="29"/>
      <c r="G32" s="35" t="s">
        <v>115</v>
      </c>
      <c r="H32" s="35"/>
      <c r="I32" s="35"/>
      <c r="J32" s="35"/>
      <c r="K32" s="30"/>
    </row>
    <row r="33" spans="2:19" s="44" customFormat="1" ht="19.899999999999999" hidden="1" customHeight="1">
      <c r="B33" s="43" t="s">
        <v>121</v>
      </c>
      <c r="C33" s="34"/>
      <c r="D33" s="34"/>
      <c r="E33" s="47">
        <f>E31*E32</f>
        <v>900</v>
      </c>
      <c r="F33" s="45" t="s">
        <v>123</v>
      </c>
      <c r="G33" s="34" t="s">
        <v>116</v>
      </c>
      <c r="H33" s="34"/>
      <c r="I33" s="34"/>
      <c r="J33" s="34"/>
      <c r="K33" s="46"/>
    </row>
    <row r="34" spans="2:19" s="28" customFormat="1" ht="19.899999999999999" customHeight="1">
      <c r="B34" s="33" t="s">
        <v>148</v>
      </c>
      <c r="C34" s="35"/>
      <c r="D34" s="34" t="s">
        <v>151</v>
      </c>
      <c r="E34" s="314"/>
      <c r="F34" s="29" t="s">
        <v>123</v>
      </c>
      <c r="G34" s="35" t="s">
        <v>117</v>
      </c>
      <c r="H34" s="35"/>
      <c r="I34" s="35"/>
      <c r="J34" s="35"/>
      <c r="K34" s="30"/>
    </row>
    <row r="35" spans="2:19" s="28" customFormat="1" ht="19.899999999999999" customHeight="1" thickBot="1">
      <c r="B35" s="36" t="s">
        <v>122</v>
      </c>
      <c r="C35" s="37"/>
      <c r="D35" s="71" t="s">
        <v>77</v>
      </c>
      <c r="E35" s="78">
        <f>IF(ISNUMBER(E34),E34,E33)</f>
        <v>900</v>
      </c>
      <c r="F35" s="31" t="s">
        <v>123</v>
      </c>
      <c r="G35" s="37" t="s">
        <v>118</v>
      </c>
      <c r="H35" s="37"/>
      <c r="I35" s="37"/>
      <c r="J35" s="37"/>
      <c r="K35" s="32"/>
    </row>
    <row r="36" spans="2:19" ht="15.75" thickBot="1"/>
    <row r="37" spans="2:19" s="21" customFormat="1" ht="21.75" thickBot="1">
      <c r="B37" s="18" t="s">
        <v>350</v>
      </c>
      <c r="C37" s="19"/>
      <c r="D37" s="48"/>
      <c r="E37" s="19"/>
      <c r="F37" s="19"/>
      <c r="G37" s="19"/>
      <c r="H37" s="19"/>
      <c r="I37" s="19"/>
      <c r="J37" s="19"/>
      <c r="K37" s="20"/>
      <c r="O37"/>
      <c r="P37"/>
      <c r="Q37"/>
      <c r="R37"/>
      <c r="S37"/>
    </row>
    <row r="38" spans="2:19" s="28" customFormat="1" ht="19.899999999999999" customHeight="1">
      <c r="B38" s="40" t="s">
        <v>351</v>
      </c>
      <c r="C38" s="41"/>
      <c r="D38" s="42" t="s">
        <v>365</v>
      </c>
      <c r="E38" s="76">
        <f>IF(AND(E19&gt;=_Neigungswinkel_für_NB_Bund,E19&lt;=90),E27*E26/1000*_Neigungswinkelbonus_Bund,0)</f>
        <v>0</v>
      </c>
      <c r="F38" s="483" t="s">
        <v>353</v>
      </c>
      <c r="G38" s="41"/>
      <c r="H38" s="76">
        <f>IF(AND(E19&gt;=_Neigungswinkel_für_NB_Bund,E19&lt;=90),E28*E26/1000*_Neigungswinkelbonus_Bund,0)</f>
        <v>0</v>
      </c>
      <c r="I38" s="41" t="s">
        <v>354</v>
      </c>
      <c r="J38" s="41"/>
      <c r="K38" s="39"/>
    </row>
    <row r="39" spans="2:19" s="28" customFormat="1" ht="19.899999999999999" customHeight="1">
      <c r="B39" s="33" t="s">
        <v>359</v>
      </c>
      <c r="C39" s="35"/>
      <c r="D39" s="34" t="s">
        <v>364</v>
      </c>
      <c r="E39" s="482">
        <f>IFERROR(IF(AND(E16=M16,E27*E26/1000&gt;=_Schwelle_PPBonus),E27*E26/1000*_Parkplatzbonus_pronovo,0),0)</f>
        <v>0</v>
      </c>
      <c r="F39" s="29" t="s">
        <v>353</v>
      </c>
      <c r="G39" s="35"/>
      <c r="H39" s="482">
        <f>IFERROR(IF(AND(E16=M16,E28*E26/1000&gt;=_Schwelle_PPBonus),E28*E26/1000*_Parkplatzbonus_pronovo,0),0)</f>
        <v>0</v>
      </c>
      <c r="I39" s="35" t="s">
        <v>354</v>
      </c>
      <c r="J39" s="35"/>
      <c r="K39" s="30"/>
    </row>
    <row r="40" spans="2:19" s="28" customFormat="1" ht="19.899999999999999" customHeight="1">
      <c r="B40" s="33" t="s">
        <v>352</v>
      </c>
      <c r="C40" s="35"/>
      <c r="D40" s="34" t="s">
        <v>362</v>
      </c>
      <c r="E40" s="482">
        <f>IFERROR(IF(AND(E19&gt;=_Neigungswinkel_für_NB_Bund,E19&lt;=90),E27*_Modullänge_Standard*_Modulbreite_Standard*_ZuschlagSteil_Stadt,0),0)</f>
        <v>0</v>
      </c>
      <c r="F40" s="29" t="s">
        <v>353</v>
      </c>
      <c r="G40" s="35"/>
      <c r="H40" s="482">
        <f>IFERROR(IF(AND(E19&gt;=_Neigungswinkel_für_NB_Bund,E19&lt;=90),E28*_Modullänge_Standard*_Modulbreite_Standard*_ZuschlagSteil_Stadt,0),0)</f>
        <v>0</v>
      </c>
      <c r="I40" s="35" t="s">
        <v>354</v>
      </c>
      <c r="J40" s="35"/>
      <c r="K40" s="30"/>
    </row>
    <row r="41" spans="2:19" s="28" customFormat="1" ht="19.899999999999999" customHeight="1" thickBot="1">
      <c r="B41" s="36" t="s">
        <v>337</v>
      </c>
      <c r="C41" s="37"/>
      <c r="D41" s="71" t="s">
        <v>363</v>
      </c>
      <c r="E41" s="78">
        <f>IF(AND((ABS($E18)+_AbweichungNord)&gt;=180,E19&lt;_Neigungswinkel_für_NB_Bund),E27*E26/1000*_ZuschlagNord_Stadt,0)</f>
        <v>0</v>
      </c>
      <c r="F41" s="31" t="s">
        <v>353</v>
      </c>
      <c r="G41" s="37"/>
      <c r="H41" s="78">
        <f>IF(AND((ABS($E18)+_AbweichungNord)&gt;=180,E19&lt;_Neigungswinkel_für_NB_Bund),E28*E26/1000*_ZuschlagNord_Stadt,0)</f>
        <v>0</v>
      </c>
      <c r="I41" s="37" t="s">
        <v>354</v>
      </c>
      <c r="J41" s="37"/>
      <c r="K41" s="32"/>
    </row>
    <row r="42" spans="2:19" ht="15.75" thickBot="1"/>
    <row r="43" spans="2:19" s="21" customFormat="1" ht="21.75" thickBot="1">
      <c r="B43" s="18" t="s">
        <v>189</v>
      </c>
      <c r="C43" s="19"/>
      <c r="D43" s="48"/>
      <c r="E43" s="19"/>
      <c r="F43" s="19"/>
      <c r="G43" s="19"/>
      <c r="H43" s="19"/>
      <c r="I43" s="19"/>
      <c r="J43" s="19"/>
      <c r="K43" s="20"/>
      <c r="O43"/>
      <c r="P43"/>
      <c r="Q43"/>
      <c r="R43"/>
      <c r="S43"/>
    </row>
    <row r="44" spans="2:19" s="23" customFormat="1" ht="15" hidden="1">
      <c r="B44" s="79"/>
      <c r="D44" s="23" t="s">
        <v>84</v>
      </c>
      <c r="F44" s="23">
        <v>-90</v>
      </c>
      <c r="G44" s="23">
        <v>-180</v>
      </c>
      <c r="H44" s="23">
        <v>90</v>
      </c>
      <c r="K44" s="80"/>
    </row>
    <row r="45" spans="2:19" s="23" customFormat="1" ht="15" hidden="1">
      <c r="B45" s="79"/>
      <c r="D45" s="23" t="s">
        <v>69</v>
      </c>
      <c r="F45" s="81">
        <f>RADIANS(F44)</f>
        <v>-1.5707963267948966</v>
      </c>
      <c r="G45" s="81">
        <f t="shared" ref="G45:H45" si="0">RADIANS(G44)</f>
        <v>-3.1415926535897931</v>
      </c>
      <c r="H45" s="81">
        <f t="shared" si="0"/>
        <v>1.5707963267948966</v>
      </c>
      <c r="K45" s="80"/>
    </row>
    <row r="46" spans="2:19" s="23" customFormat="1" ht="15" hidden="1">
      <c r="B46" s="79"/>
      <c r="D46" s="23" t="s">
        <v>70</v>
      </c>
      <c r="F46" s="23">
        <v>1</v>
      </c>
      <c r="G46" s="23">
        <v>3</v>
      </c>
      <c r="H46" s="23">
        <v>1</v>
      </c>
      <c r="K46" s="80"/>
    </row>
    <row r="47" spans="2:19" s="23" customFormat="1" ht="15" hidden="1">
      <c r="B47" s="79"/>
      <c r="D47" s="23" t="s">
        <v>85</v>
      </c>
      <c r="F47" s="82">
        <f>$F$46*SIN(ATAN(1/$F$46))/SIN(ASIN(SIN($E$21)*COS($F$45-PI()+$E$20))+ATAN(1/$F$46))</f>
        <v>1</v>
      </c>
      <c r="G47" s="82">
        <f>$G$46*SIN(ATAN(1/$G$46))/SIN(ASIN(SIN(-$E$21)*COS($G$45-PI()+$E$20))+ATAN(1/$G$46))</f>
        <v>3</v>
      </c>
      <c r="H47" s="82">
        <f>$H$46*SIN(ATAN(1/$H$46))/SIN(ASIN(SIN($E$21)*COS($H$45-PI()+$E$20))+ATAN(1/$H$46))</f>
        <v>1</v>
      </c>
      <c r="K47" s="80"/>
    </row>
    <row r="48" spans="2:19" s="23" customFormat="1" ht="15" hidden="1">
      <c r="B48" s="79"/>
      <c r="D48" s="23" t="s">
        <v>72</v>
      </c>
      <c r="F48" s="81">
        <f>ASIN(SIN($E$21)*COS(F45-$E$20))</f>
        <v>0</v>
      </c>
      <c r="G48" s="81">
        <f>ASIN(SIN($E$21)*COS(G45-$E$20))</f>
        <v>0</v>
      </c>
      <c r="H48" s="81">
        <f>ASIN(SIN($E$21)*COS(H45-$E$20))</f>
        <v>0</v>
      </c>
      <c r="K48" s="80"/>
    </row>
    <row r="49" spans="2:11" s="23" customFormat="1" ht="15" hidden="1">
      <c r="B49" s="79"/>
      <c r="D49" s="23" t="s">
        <v>73</v>
      </c>
      <c r="F49" s="83">
        <f>F48*180/PI()</f>
        <v>0</v>
      </c>
      <c r="G49" s="83">
        <f t="shared" ref="G49:H49" si="1">G48*180/PI()</f>
        <v>0</v>
      </c>
      <c r="H49" s="83">
        <f t="shared" si="1"/>
        <v>0</v>
      </c>
      <c r="K49" s="80"/>
    </row>
    <row r="50" spans="2:11" s="262" customFormat="1" ht="59.45" customHeight="1">
      <c r="B50" s="684" t="str">
        <f>"Zum Dachrand, sowie um Dachaufbauten wie Fenster, Lukarnen, Kamine, Lüftungsrohre etc. dürfen Abstände von "&amp;_Modul_Randabstand&amp;" m berücksichtigt werden. Die Verschattungsabstände durch hohe Objekte können zudem gemäss Kallkulation nach untenstehender Tabelle berücksichtigt werden. (Abstände auf der Dachfläche in die entsprechende Himmelsrichtung)"</f>
        <v>Zum Dachrand, sowie um Dachaufbauten wie Fenster, Lukarnen, Kamine, Lüftungsrohre etc. dürfen Abstände von 0.2 m berücksichtigt werden. Die Verschattungsabstände durch hohe Objekte können zudem gemäss Kallkulation nach untenstehender Tabelle berücksichtigt werden. (Abstände auf der Dachfläche in die entsprechende Himmelsrichtung)</v>
      </c>
      <c r="C50" s="685"/>
      <c r="D50" s="685"/>
      <c r="E50" s="685"/>
      <c r="F50" s="685"/>
      <c r="G50" s="685"/>
      <c r="H50" s="685"/>
      <c r="I50" s="685"/>
      <c r="J50" s="685"/>
      <c r="K50" s="686"/>
    </row>
    <row r="51" spans="2:11" s="28" customFormat="1" ht="19.899999999999999" customHeight="1">
      <c r="B51" s="49"/>
      <c r="C51" s="50"/>
      <c r="D51" s="51"/>
      <c r="E51" s="84"/>
      <c r="F51" s="683" t="s">
        <v>87</v>
      </c>
      <c r="G51" s="683"/>
      <c r="H51" s="683"/>
      <c r="K51" s="86"/>
    </row>
    <row r="52" spans="2:11" s="28" customFormat="1" ht="19.899999999999999" customHeight="1">
      <c r="B52" s="49" t="s">
        <v>91</v>
      </c>
      <c r="C52" s="50" t="s">
        <v>20</v>
      </c>
      <c r="D52" s="51"/>
      <c r="E52" s="87" t="s">
        <v>114</v>
      </c>
      <c r="F52" s="85" t="s">
        <v>88</v>
      </c>
      <c r="G52" s="85" t="s">
        <v>89</v>
      </c>
      <c r="H52" s="85" t="s">
        <v>90</v>
      </c>
      <c r="K52" s="86"/>
    </row>
    <row r="53" spans="2:11" s="28" customFormat="1" ht="19.899999999999999" customHeight="1">
      <c r="B53" s="88" t="s">
        <v>92</v>
      </c>
      <c r="C53" s="89"/>
      <c r="D53" s="90"/>
      <c r="E53" s="91" t="s">
        <v>86</v>
      </c>
      <c r="F53" s="91" t="s">
        <v>86</v>
      </c>
      <c r="G53" s="91" t="s">
        <v>86</v>
      </c>
      <c r="H53" s="91" t="s">
        <v>86</v>
      </c>
      <c r="I53" s="92"/>
      <c r="J53" s="92"/>
      <c r="K53" s="93"/>
    </row>
    <row r="54" spans="2:11" s="28" customFormat="1" ht="19.899999999999999" customHeight="1">
      <c r="B54" s="94">
        <v>1</v>
      </c>
      <c r="C54" s="315"/>
      <c r="D54" s="315"/>
      <c r="E54" s="316"/>
      <c r="F54" s="95" t="str">
        <f t="shared" ref="F54:F65" si="2">IF(ISNUMBER($E54),$E54*IF($F$47&gt;0,MIN($F$46:$F$47),MAX($F$46:$F$47)),"")</f>
        <v/>
      </c>
      <c r="G54" s="95" t="str">
        <f t="shared" ref="G54:G65" si="3">IF(ISNUMBER($E54),$E54*IF($G$47&gt;0,MIN($G$46:$G$47),MAX($G$46:$G$47)),"")</f>
        <v/>
      </c>
      <c r="H54" s="95" t="str">
        <f t="shared" ref="H54:H65" si="4">IF(ISNUMBER($E54),$E54*IF($H$47&gt;0,MIN($H$46:$H$47),MAX($H$46:$H$47)),"")</f>
        <v/>
      </c>
      <c r="I54" s="73"/>
      <c r="J54" s="73"/>
      <c r="K54" s="74"/>
    </row>
    <row r="55" spans="2:11" s="28" customFormat="1" ht="19.899999999999999" customHeight="1">
      <c r="B55" s="96">
        <v>2</v>
      </c>
      <c r="C55" s="317"/>
      <c r="D55" s="317"/>
      <c r="E55" s="318"/>
      <c r="F55" s="97" t="str">
        <f t="shared" si="2"/>
        <v/>
      </c>
      <c r="G55" s="97" t="str">
        <f t="shared" si="3"/>
        <v/>
      </c>
      <c r="H55" s="97" t="str">
        <f t="shared" si="4"/>
        <v/>
      </c>
      <c r="I55" s="35"/>
      <c r="J55" s="35"/>
      <c r="K55" s="30"/>
    </row>
    <row r="56" spans="2:11" s="28" customFormat="1" ht="19.899999999999999" customHeight="1">
      <c r="B56" s="96">
        <v>3</v>
      </c>
      <c r="C56" s="317"/>
      <c r="D56" s="317"/>
      <c r="E56" s="318"/>
      <c r="F56" s="97" t="str">
        <f t="shared" si="2"/>
        <v/>
      </c>
      <c r="G56" s="97" t="str">
        <f t="shared" si="3"/>
        <v/>
      </c>
      <c r="H56" s="97" t="str">
        <f t="shared" si="4"/>
        <v/>
      </c>
      <c r="I56" s="35"/>
      <c r="J56" s="35"/>
      <c r="K56" s="30"/>
    </row>
    <row r="57" spans="2:11" s="28" customFormat="1" ht="19.899999999999999" customHeight="1">
      <c r="B57" s="96">
        <v>4</v>
      </c>
      <c r="C57" s="317"/>
      <c r="D57" s="317"/>
      <c r="E57" s="318"/>
      <c r="F57" s="97" t="str">
        <f t="shared" si="2"/>
        <v/>
      </c>
      <c r="G57" s="97" t="str">
        <f t="shared" si="3"/>
        <v/>
      </c>
      <c r="H57" s="97" t="str">
        <f t="shared" si="4"/>
        <v/>
      </c>
      <c r="I57" s="35"/>
      <c r="J57" s="35"/>
      <c r="K57" s="30"/>
    </row>
    <row r="58" spans="2:11" s="28" customFormat="1" ht="19.899999999999999" customHeight="1">
      <c r="B58" s="96">
        <v>5</v>
      </c>
      <c r="C58" s="317"/>
      <c r="D58" s="317"/>
      <c r="E58" s="318"/>
      <c r="F58" s="97" t="str">
        <f t="shared" si="2"/>
        <v/>
      </c>
      <c r="G58" s="97" t="str">
        <f t="shared" si="3"/>
        <v/>
      </c>
      <c r="H58" s="97" t="str">
        <f t="shared" si="4"/>
        <v/>
      </c>
      <c r="I58" s="35"/>
      <c r="J58" s="35"/>
      <c r="K58" s="30"/>
    </row>
    <row r="59" spans="2:11" s="28" customFormat="1" ht="19.899999999999999" customHeight="1">
      <c r="B59" s="96">
        <v>6</v>
      </c>
      <c r="C59" s="317"/>
      <c r="D59" s="317"/>
      <c r="E59" s="318"/>
      <c r="F59" s="97" t="str">
        <f t="shared" si="2"/>
        <v/>
      </c>
      <c r="G59" s="97" t="str">
        <f t="shared" si="3"/>
        <v/>
      </c>
      <c r="H59" s="97" t="str">
        <f t="shared" si="4"/>
        <v/>
      </c>
      <c r="I59" s="35"/>
      <c r="J59" s="35"/>
      <c r="K59" s="30"/>
    </row>
    <row r="60" spans="2:11" s="28" customFormat="1" ht="19.899999999999999" customHeight="1">
      <c r="B60" s="96">
        <v>7</v>
      </c>
      <c r="C60" s="317"/>
      <c r="D60" s="317"/>
      <c r="E60" s="318"/>
      <c r="F60" s="97" t="str">
        <f t="shared" si="2"/>
        <v/>
      </c>
      <c r="G60" s="97" t="str">
        <f t="shared" si="3"/>
        <v/>
      </c>
      <c r="H60" s="97" t="str">
        <f t="shared" si="4"/>
        <v/>
      </c>
      <c r="I60" s="35"/>
      <c r="J60" s="35"/>
      <c r="K60" s="30"/>
    </row>
    <row r="61" spans="2:11" s="28" customFormat="1" ht="19.899999999999999" customHeight="1">
      <c r="B61" s="96">
        <v>8</v>
      </c>
      <c r="C61" s="317"/>
      <c r="D61" s="317"/>
      <c r="E61" s="318"/>
      <c r="F61" s="97" t="str">
        <f t="shared" si="2"/>
        <v/>
      </c>
      <c r="G61" s="97" t="str">
        <f t="shared" si="3"/>
        <v/>
      </c>
      <c r="H61" s="97" t="str">
        <f t="shared" si="4"/>
        <v/>
      </c>
      <c r="I61" s="35"/>
      <c r="J61" s="35"/>
      <c r="K61" s="30"/>
    </row>
    <row r="62" spans="2:11" s="28" customFormat="1" ht="19.899999999999999" customHeight="1">
      <c r="B62" s="96">
        <v>9</v>
      </c>
      <c r="C62" s="317"/>
      <c r="D62" s="317"/>
      <c r="E62" s="318"/>
      <c r="F62" s="97" t="str">
        <f t="shared" si="2"/>
        <v/>
      </c>
      <c r="G62" s="97" t="str">
        <f t="shared" si="3"/>
        <v/>
      </c>
      <c r="H62" s="97" t="str">
        <f t="shared" si="4"/>
        <v/>
      </c>
      <c r="I62" s="35"/>
      <c r="J62" s="35"/>
      <c r="K62" s="30"/>
    </row>
    <row r="63" spans="2:11" s="28" customFormat="1" ht="19.899999999999999" customHeight="1">
      <c r="B63" s="96">
        <v>10</v>
      </c>
      <c r="C63" s="317"/>
      <c r="D63" s="317"/>
      <c r="E63" s="318"/>
      <c r="F63" s="29" t="str">
        <f t="shared" si="2"/>
        <v/>
      </c>
      <c r="G63" s="29" t="str">
        <f t="shared" si="3"/>
        <v/>
      </c>
      <c r="H63" s="29" t="str">
        <f t="shared" si="4"/>
        <v/>
      </c>
      <c r="I63" s="35"/>
      <c r="J63" s="35"/>
      <c r="K63" s="30"/>
    </row>
    <row r="64" spans="2:11" s="28" customFormat="1" ht="19.899999999999999" customHeight="1">
      <c r="B64" s="96">
        <v>11</v>
      </c>
      <c r="C64" s="317"/>
      <c r="D64" s="317"/>
      <c r="E64" s="318"/>
      <c r="F64" s="29" t="str">
        <f t="shared" si="2"/>
        <v/>
      </c>
      <c r="G64" s="29" t="str">
        <f t="shared" si="3"/>
        <v/>
      </c>
      <c r="H64" s="29" t="str">
        <f t="shared" si="4"/>
        <v/>
      </c>
      <c r="I64" s="35"/>
      <c r="J64" s="35"/>
      <c r="K64" s="30"/>
    </row>
    <row r="65" spans="2:11" s="28" customFormat="1" ht="19.899999999999999" customHeight="1" thickBot="1">
      <c r="B65" s="98">
        <v>12</v>
      </c>
      <c r="C65" s="319"/>
      <c r="D65" s="319"/>
      <c r="E65" s="320"/>
      <c r="F65" s="31" t="str">
        <f t="shared" si="2"/>
        <v/>
      </c>
      <c r="G65" s="31" t="str">
        <f t="shared" si="3"/>
        <v/>
      </c>
      <c r="H65" s="31" t="str">
        <f t="shared" si="4"/>
        <v/>
      </c>
      <c r="I65" s="37"/>
      <c r="J65" s="37"/>
      <c r="K65" s="32"/>
    </row>
    <row r="66" spans="2:11" ht="15"/>
    <row r="67" spans="2:11" ht="15" hidden="1"/>
    <row r="68" spans="2:11" ht="14.45" customHeight="1"/>
  </sheetData>
  <sheetProtection algorithmName="SHA-512" hashValue="YyjY3g9yhhguLrvXypdtF+LLhXe9PBabK5ro18zBT9XedEhIn3v3k8Suf4grmDHahFf45PQFseXx9e+Xv4r5pA==" saltValue="8QOnl3cbeg37kmK6+hiRgg==" spinCount="100000" sheet="1" objects="1" scenarios="1" selectLockedCells="1" autoFilter="0"/>
  <mergeCells count="17">
    <mergeCell ref="E2:J4"/>
    <mergeCell ref="E11:F11"/>
    <mergeCell ref="B9:C9"/>
    <mergeCell ref="E9:F9"/>
    <mergeCell ref="H9:J9"/>
    <mergeCell ref="B10:C10"/>
    <mergeCell ref="E10:F10"/>
    <mergeCell ref="H10:J10"/>
    <mergeCell ref="H11:J11"/>
    <mergeCell ref="B11:C11"/>
    <mergeCell ref="B50:K50"/>
    <mergeCell ref="F51:H51"/>
    <mergeCell ref="B12:C12"/>
    <mergeCell ref="E12:F12"/>
    <mergeCell ref="E15:F15"/>
    <mergeCell ref="E24:F24"/>
    <mergeCell ref="B16:C16"/>
  </mergeCells>
  <dataValidations count="2">
    <dataValidation type="list" allowBlank="1" showInputMessage="1" showErrorMessage="1" sqref="E24" xr:uid="{00000000-0002-0000-0C00-000000000000}">
      <formula1>$G$24:$H$24</formula1>
    </dataValidation>
    <dataValidation type="list" allowBlank="1" showInputMessage="1" showErrorMessage="1" sqref="E16" xr:uid="{345441C9-26E2-47B5-A461-A79F022F4F09}">
      <formula1>$M$16:$M$17</formula1>
    </dataValidation>
  </dataValidations>
  <pageMargins left="0.7" right="0.7" top="0.78740157499999996" bottom="0.78740157499999996" header="0.3" footer="0.3"/>
  <pageSetup paperSize="9" scale="64" orientation="portrait" r:id="rId1"/>
  <colBreaks count="1" manualBreakCount="1">
    <brk id="12" max="1048575" man="1"/>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S68"/>
  <sheetViews>
    <sheetView workbookViewId="0">
      <selection activeCell="E34" sqref="E34"/>
    </sheetView>
  </sheetViews>
  <sheetFormatPr baseColWidth="10" defaultColWidth="0" defaultRowHeight="14.45" customHeight="1" zeroHeight="1"/>
  <cols>
    <col min="1" max="1" width="4.7109375" customWidth="1"/>
    <col min="2" max="2" width="8.28515625" customWidth="1"/>
    <col min="3" max="3" width="24.85546875" customWidth="1"/>
    <col min="4" max="4" width="7.85546875" style="23" hidden="1" customWidth="1"/>
    <col min="5" max="5" width="12.28515625" customWidth="1"/>
    <col min="6" max="8" width="14.42578125" customWidth="1"/>
    <col min="9" max="10" width="11.42578125" customWidth="1"/>
    <col min="11" max="11" width="12.7109375" bestFit="1" customWidth="1"/>
    <col min="12" max="12" width="5.28515625" customWidth="1"/>
    <col min="13" max="16384" width="11.42578125" hidden="1"/>
  </cols>
  <sheetData>
    <row r="1" spans="1:19" ht="15.75" thickBot="1">
      <c r="A1" s="27" t="str">
        <f ca="1">MID(CELL("dateiname",A1),SEARCH("]",CELL("dateiname",A1))+1,31)</f>
        <v>TF (11)</v>
      </c>
    </row>
    <row r="2" spans="1:19" ht="15" customHeight="1">
      <c r="B2" s="389"/>
      <c r="C2" s="390"/>
      <c r="D2" s="390"/>
      <c r="E2" s="666" t="str">
        <f>_Dok_Titel</f>
        <v>Planungshilfe
Solar- und Photovoltaikanlagen auf Schrägdächern (Art. 77 Abs. 3 und 4 BZR)
Formular-Release 2.5</v>
      </c>
      <c r="F2" s="666"/>
      <c r="G2" s="666"/>
      <c r="H2" s="666"/>
      <c r="I2" s="666"/>
      <c r="J2" s="666"/>
      <c r="K2" s="391"/>
    </row>
    <row r="3" spans="1:19" ht="15" customHeight="1">
      <c r="B3" s="392"/>
      <c r="C3" s="393"/>
      <c r="D3" s="393"/>
      <c r="E3" s="667"/>
      <c r="F3" s="667"/>
      <c r="G3" s="667"/>
      <c r="H3" s="667"/>
      <c r="I3" s="667"/>
      <c r="J3" s="667"/>
      <c r="K3" s="394"/>
    </row>
    <row r="4" spans="1:19" ht="34.15" customHeight="1" thickBot="1">
      <c r="B4" s="395"/>
      <c r="C4" s="396"/>
      <c r="D4" s="396"/>
      <c r="E4" s="668"/>
      <c r="F4" s="668"/>
      <c r="G4" s="668"/>
      <c r="H4" s="668"/>
      <c r="I4" s="668"/>
      <c r="J4" s="668"/>
      <c r="K4" s="397"/>
    </row>
    <row r="5" spans="1:19" ht="15.75" thickBot="1"/>
    <row r="6" spans="1:19" s="21" customFormat="1" ht="21.75" thickBot="1">
      <c r="B6" s="18" t="str">
        <f ca="1">"Zusammenstellung Kennwerte Teilfläche "&amp;MID(CELL("dateiname",A1),SEARCH("]",CELL("dateiname",A1))+1,31)</f>
        <v>Zusammenstellung Kennwerte Teilfläche TF (11)</v>
      </c>
      <c r="C6" s="19"/>
      <c r="D6" s="48"/>
      <c r="E6" s="19"/>
      <c r="F6" s="19"/>
      <c r="G6" s="19"/>
      <c r="H6" s="19"/>
      <c r="I6" s="19"/>
      <c r="J6" s="19"/>
      <c r="K6" s="20"/>
      <c r="O6"/>
      <c r="P6"/>
      <c r="Q6"/>
      <c r="R6"/>
      <c r="S6"/>
    </row>
    <row r="7" spans="1:19" ht="15.75" thickBot="1"/>
    <row r="8" spans="1:19" s="21" customFormat="1" ht="21.75" thickBot="1">
      <c r="B8" s="18" t="s">
        <v>26</v>
      </c>
      <c r="C8" s="19"/>
      <c r="D8" s="48"/>
      <c r="E8" s="19"/>
      <c r="F8" s="19"/>
      <c r="G8" s="19"/>
      <c r="H8" s="19"/>
      <c r="I8" s="19"/>
      <c r="J8" s="19"/>
      <c r="K8" s="20"/>
      <c r="O8"/>
      <c r="P8"/>
      <c r="Q8"/>
      <c r="R8"/>
      <c r="S8"/>
    </row>
    <row r="9" spans="1:19" s="28" customFormat="1" ht="19.899999999999999" customHeight="1">
      <c r="B9" s="551" t="str">
        <f>Bericht!B7</f>
        <v>Projektname</v>
      </c>
      <c r="C9" s="552"/>
      <c r="D9" s="415"/>
      <c r="E9" s="669">
        <f>_Projektname</f>
        <v>0</v>
      </c>
      <c r="F9" s="669"/>
      <c r="G9" s="426"/>
      <c r="H9" s="649" t="str">
        <f>Bericht!J7</f>
        <v>Netzversorger:</v>
      </c>
      <c r="I9" s="649"/>
      <c r="J9" s="649"/>
      <c r="K9" s="138" t="str">
        <f>_Netzversorger</f>
        <v>ckw</v>
      </c>
    </row>
    <row r="10" spans="1:19" s="28" customFormat="1" ht="19.899999999999999" customHeight="1">
      <c r="B10" s="553" t="str">
        <f>Bericht!B8</f>
        <v>Adresse</v>
      </c>
      <c r="C10" s="554"/>
      <c r="D10" s="416"/>
      <c r="E10" s="670">
        <f>_Adresse</f>
        <v>0</v>
      </c>
      <c r="F10" s="670"/>
      <c r="G10" s="427"/>
      <c r="H10" s="650" t="str">
        <f>Bericht!J8</f>
        <v>Geplantes Datum Fertigstellung:</v>
      </c>
      <c r="I10" s="650"/>
      <c r="J10" s="650"/>
      <c r="K10" s="139">
        <f>_Datum_IBS</f>
        <v>0</v>
      </c>
      <c r="L10" s="410"/>
    </row>
    <row r="11" spans="1:19" s="28" customFormat="1" ht="19.899999999999999" customHeight="1">
      <c r="B11" s="553" t="str">
        <f>Bericht!B9</f>
        <v>PLZ Ort</v>
      </c>
      <c r="C11" s="554"/>
      <c r="D11" s="416"/>
      <c r="E11" s="670">
        <f>_PLZ</f>
        <v>0</v>
      </c>
      <c r="F11" s="670"/>
      <c r="G11" s="427"/>
      <c r="H11" s="650" t="s">
        <v>277</v>
      </c>
      <c r="I11" s="650"/>
      <c r="J11" s="650"/>
      <c r="K11" s="409">
        <f>_Letzte_REV</f>
        <v>46042</v>
      </c>
      <c r="L11" s="411"/>
    </row>
    <row r="12" spans="1:19" s="28" customFormat="1" ht="19.899999999999999" customHeight="1" thickBot="1">
      <c r="B12" s="680" t="s">
        <v>138</v>
      </c>
      <c r="C12" s="681"/>
      <c r="D12" s="31"/>
      <c r="E12" s="556">
        <f>Bericht!D10</f>
        <v>0</v>
      </c>
      <c r="F12" s="556"/>
      <c r="G12" s="428"/>
      <c r="H12" s="31" t="s">
        <v>278</v>
      </c>
      <c r="I12" s="31"/>
      <c r="J12" s="31"/>
      <c r="K12" s="358">
        <f>_Nächste_REV</f>
        <v>46357</v>
      </c>
      <c r="L12" s="411"/>
    </row>
    <row r="13" spans="1:19" ht="15.75" thickBot="1"/>
    <row r="14" spans="1:19" s="21" customFormat="1" ht="21.75" thickBot="1">
      <c r="B14" s="18" t="s">
        <v>75</v>
      </c>
      <c r="C14" s="19"/>
      <c r="D14" s="48"/>
      <c r="E14" s="19"/>
      <c r="F14" s="19"/>
      <c r="G14" s="19"/>
      <c r="H14" s="19"/>
      <c r="I14" s="19"/>
      <c r="J14" s="19"/>
      <c r="K14" s="20"/>
      <c r="O14"/>
      <c r="P14"/>
      <c r="Q14"/>
      <c r="R14"/>
      <c r="S14"/>
    </row>
    <row r="15" spans="1:19" s="28" customFormat="1" ht="19.899999999999999" customHeight="1">
      <c r="B15" s="40" t="s">
        <v>93</v>
      </c>
      <c r="C15" s="41"/>
      <c r="D15" s="42" t="s">
        <v>155</v>
      </c>
      <c r="E15" s="679"/>
      <c r="F15" s="679"/>
      <c r="G15" s="41"/>
      <c r="H15" s="41"/>
      <c r="I15" s="41"/>
      <c r="J15" s="41"/>
      <c r="K15" s="39"/>
    </row>
    <row r="16" spans="1:19" s="28" customFormat="1" ht="19.899999999999999" customHeight="1">
      <c r="B16" s="682" t="s">
        <v>355</v>
      </c>
      <c r="C16" s="616"/>
      <c r="D16" s="66" t="s">
        <v>366</v>
      </c>
      <c r="E16" s="489" t="s">
        <v>358</v>
      </c>
      <c r="F16" s="29"/>
      <c r="G16" s="73" t="s">
        <v>356</v>
      </c>
      <c r="H16" s="73"/>
      <c r="I16" s="73"/>
      <c r="J16" s="73"/>
      <c r="K16" s="74"/>
      <c r="M16" s="28" t="s">
        <v>357</v>
      </c>
    </row>
    <row r="17" spans="2:19" s="28" customFormat="1" ht="19.899999999999999" customHeight="1">
      <c r="B17" s="72" t="s">
        <v>96</v>
      </c>
      <c r="C17" s="73"/>
      <c r="D17" s="66" t="s">
        <v>129</v>
      </c>
      <c r="E17" s="270"/>
      <c r="F17" s="65" t="s">
        <v>127</v>
      </c>
      <c r="G17" s="73" t="s">
        <v>234</v>
      </c>
      <c r="H17" s="73"/>
      <c r="I17" s="73"/>
      <c r="J17" s="73"/>
      <c r="K17" s="74"/>
      <c r="M17" s="28" t="s">
        <v>358</v>
      </c>
    </row>
    <row r="18" spans="2:19" s="28" customFormat="1" ht="19.899999999999999" customHeight="1">
      <c r="B18" s="33" t="s">
        <v>94</v>
      </c>
      <c r="C18" s="35"/>
      <c r="D18" s="34" t="s">
        <v>37</v>
      </c>
      <c r="E18" s="271"/>
      <c r="F18" s="29" t="s">
        <v>54</v>
      </c>
      <c r="G18" s="35" t="s">
        <v>67</v>
      </c>
      <c r="H18" s="35"/>
      <c r="I18" s="35"/>
      <c r="J18" s="35"/>
      <c r="K18" s="30"/>
    </row>
    <row r="19" spans="2:19" s="28" customFormat="1" ht="19.899999999999999" customHeight="1" thickBot="1">
      <c r="B19" s="36" t="s">
        <v>95</v>
      </c>
      <c r="C19" s="37"/>
      <c r="D19" s="71" t="s">
        <v>38</v>
      </c>
      <c r="E19" s="272"/>
      <c r="F19" s="31" t="s">
        <v>54</v>
      </c>
      <c r="G19" s="37" t="s">
        <v>68</v>
      </c>
      <c r="H19" s="37"/>
      <c r="I19" s="37"/>
      <c r="J19" s="37"/>
      <c r="K19" s="32"/>
    </row>
    <row r="20" spans="2:19" s="23" customFormat="1" ht="15" hidden="1" customHeight="1">
      <c r="C20" s="23" t="s">
        <v>74</v>
      </c>
      <c r="E20" s="23">
        <f>RADIANS(E18)</f>
        <v>0</v>
      </c>
    </row>
    <row r="21" spans="2:19" s="23" customFormat="1" ht="15" hidden="1">
      <c r="C21" s="23" t="s">
        <v>71</v>
      </c>
      <c r="E21" s="23">
        <f>-RADIANS(E19)</f>
        <v>0</v>
      </c>
    </row>
    <row r="22" spans="2:19" ht="15.75" thickBot="1"/>
    <row r="23" spans="2:19" s="21" customFormat="1" ht="21.75" thickBot="1">
      <c r="B23" s="18" t="s">
        <v>50</v>
      </c>
      <c r="C23" s="19"/>
      <c r="D23" s="48"/>
      <c r="E23" s="19"/>
      <c r="F23" s="19"/>
      <c r="G23" s="19"/>
      <c r="H23" s="19"/>
      <c r="I23" s="19"/>
      <c r="J23" s="19"/>
      <c r="K23" s="20"/>
      <c r="O23"/>
      <c r="P23"/>
      <c r="Q23"/>
      <c r="R23"/>
      <c r="S23"/>
    </row>
    <row r="24" spans="2:19" s="28" customFormat="1" ht="19.899999999999999" customHeight="1">
      <c r="B24" s="40" t="s">
        <v>51</v>
      </c>
      <c r="C24" s="41"/>
      <c r="D24" s="42" t="s">
        <v>76</v>
      </c>
      <c r="E24" s="687" t="s">
        <v>105</v>
      </c>
      <c r="F24" s="687"/>
      <c r="G24" s="41" t="s">
        <v>104</v>
      </c>
      <c r="H24" s="41" t="s">
        <v>105</v>
      </c>
      <c r="I24" s="41"/>
      <c r="J24" s="41"/>
      <c r="K24" s="39"/>
    </row>
    <row r="25" spans="2:19" s="28" customFormat="1" ht="19.899999999999999" customHeight="1">
      <c r="B25" s="72" t="s">
        <v>229</v>
      </c>
      <c r="C25" s="73"/>
      <c r="D25" s="66" t="s">
        <v>235</v>
      </c>
      <c r="E25" s="485" t="str">
        <f>IF((ABS($E18)+_AbweichungNord)&gt;180,"Satiniert","Standard")</f>
        <v>Standard</v>
      </c>
      <c r="F25" s="485"/>
      <c r="G25" s="73"/>
      <c r="H25" s="73"/>
      <c r="I25" s="73"/>
      <c r="J25" s="73"/>
      <c r="K25" s="74"/>
    </row>
    <row r="26" spans="2:19" s="28" customFormat="1" ht="19.899999999999999" customHeight="1">
      <c r="B26" s="33" t="s">
        <v>49</v>
      </c>
      <c r="C26" s="35"/>
      <c r="D26" s="34" t="s">
        <v>40</v>
      </c>
      <c r="E26" s="29">
        <f>IF((ABS($E18)+_AbweichungNord)&gt;180,_Modulleistung_Satin,_Modulleistung_Standard)</f>
        <v>485</v>
      </c>
      <c r="F26" s="29" t="s">
        <v>58</v>
      </c>
      <c r="G26" s="35" t="str">
        <f ca="1">"Modulleistung definiert im Tab "&amp;Datengrundlage!A1&amp;""</f>
        <v>Modulleistung definiert im Tab Datengrundlage</v>
      </c>
      <c r="H26" s="35"/>
      <c r="I26" s="35"/>
      <c r="J26" s="35"/>
      <c r="K26" s="30"/>
    </row>
    <row r="27" spans="2:19" s="28" customFormat="1" ht="19.899999999999999" customHeight="1">
      <c r="B27" s="33" t="s">
        <v>196</v>
      </c>
      <c r="C27" s="35"/>
      <c r="D27" s="34" t="s">
        <v>97</v>
      </c>
      <c r="E27" s="273"/>
      <c r="F27" s="29" t="s">
        <v>99</v>
      </c>
      <c r="G27" s="35" t="s">
        <v>202</v>
      </c>
      <c r="H27" s="35"/>
      <c r="I27" s="35"/>
      <c r="J27" s="35"/>
      <c r="K27" s="30"/>
    </row>
    <row r="28" spans="2:19" s="28" customFormat="1" ht="19.899999999999999" customHeight="1" thickBot="1">
      <c r="B28" s="36" t="s">
        <v>195</v>
      </c>
      <c r="C28" s="37"/>
      <c r="D28" s="71" t="s">
        <v>154</v>
      </c>
      <c r="E28" s="313">
        <f>E27</f>
        <v>0</v>
      </c>
      <c r="F28" s="31" t="s">
        <v>99</v>
      </c>
      <c r="G28" s="37" t="s">
        <v>203</v>
      </c>
      <c r="H28" s="37"/>
      <c r="I28" s="37"/>
      <c r="J28" s="37"/>
      <c r="K28" s="32"/>
    </row>
    <row r="29" spans="2:19" ht="15.75" thickBot="1"/>
    <row r="30" spans="2:19" s="21" customFormat="1" ht="21.75" thickBot="1">
      <c r="B30" s="18" t="s">
        <v>281</v>
      </c>
      <c r="C30" s="19"/>
      <c r="D30" s="48"/>
      <c r="E30" s="19"/>
      <c r="F30" s="19"/>
      <c r="G30" s="19"/>
      <c r="H30" s="19"/>
      <c r="I30" s="19"/>
      <c r="J30" s="19"/>
      <c r="K30" s="20"/>
      <c r="O30"/>
      <c r="P30"/>
      <c r="Q30"/>
      <c r="R30"/>
      <c r="S30"/>
    </row>
    <row r="31" spans="2:19" s="28" customFormat="1" ht="19.899999999999999" customHeight="1">
      <c r="B31" s="40" t="s">
        <v>120</v>
      </c>
      <c r="C31" s="41"/>
      <c r="D31" s="42"/>
      <c r="E31" s="76">
        <f>_Spez_Ertrag_Standort</f>
        <v>900</v>
      </c>
      <c r="F31" s="75" t="s">
        <v>123</v>
      </c>
      <c r="G31" s="41" t="str">
        <f>"Spez. Ertrag am Standort"</f>
        <v>Spez. Ertrag am Standort</v>
      </c>
      <c r="H31" s="41"/>
      <c r="I31" s="41"/>
      <c r="J31" s="41"/>
      <c r="K31" s="39"/>
    </row>
    <row r="32" spans="2:19" s="28" customFormat="1" ht="19.899999999999999" customHeight="1">
      <c r="B32" s="33" t="s">
        <v>119</v>
      </c>
      <c r="C32" s="35"/>
      <c r="D32" s="34"/>
      <c r="E32" s="77" cm="1">
        <f t="array" ref="E32">INDEX(_Faktor_Ausrichtung,ROUND(((E19/_RasterNeigung))+1,0),ROUND((((E18)/_RasterAzimut))+180/_RasterAzimut+1,0),1)</f>
        <v>1</v>
      </c>
      <c r="F32" s="29"/>
      <c r="G32" s="35" t="s">
        <v>115</v>
      </c>
      <c r="H32" s="35"/>
      <c r="I32" s="35"/>
      <c r="J32" s="35"/>
      <c r="K32" s="30"/>
    </row>
    <row r="33" spans="2:19" s="44" customFormat="1" ht="19.899999999999999" hidden="1" customHeight="1">
      <c r="B33" s="43" t="s">
        <v>121</v>
      </c>
      <c r="C33" s="34"/>
      <c r="D33" s="34"/>
      <c r="E33" s="47">
        <f>E31*E32</f>
        <v>900</v>
      </c>
      <c r="F33" s="45" t="s">
        <v>123</v>
      </c>
      <c r="G33" s="34" t="s">
        <v>116</v>
      </c>
      <c r="H33" s="34"/>
      <c r="I33" s="34"/>
      <c r="J33" s="34"/>
      <c r="K33" s="46"/>
    </row>
    <row r="34" spans="2:19" s="28" customFormat="1" ht="19.899999999999999" customHeight="1">
      <c r="B34" s="33" t="s">
        <v>148</v>
      </c>
      <c r="C34" s="35"/>
      <c r="D34" s="34" t="s">
        <v>151</v>
      </c>
      <c r="E34" s="314"/>
      <c r="F34" s="29" t="s">
        <v>123</v>
      </c>
      <c r="G34" s="35" t="s">
        <v>117</v>
      </c>
      <c r="H34" s="35"/>
      <c r="I34" s="35"/>
      <c r="J34" s="35"/>
      <c r="K34" s="30"/>
    </row>
    <row r="35" spans="2:19" s="28" customFormat="1" ht="19.899999999999999" customHeight="1" thickBot="1">
      <c r="B35" s="36" t="s">
        <v>122</v>
      </c>
      <c r="C35" s="37"/>
      <c r="D35" s="71" t="s">
        <v>77</v>
      </c>
      <c r="E35" s="78">
        <f>IF(ISNUMBER(E34),E34,E33)</f>
        <v>900</v>
      </c>
      <c r="F35" s="31" t="s">
        <v>123</v>
      </c>
      <c r="G35" s="37" t="s">
        <v>118</v>
      </c>
      <c r="H35" s="37"/>
      <c r="I35" s="37"/>
      <c r="J35" s="37"/>
      <c r="K35" s="32"/>
    </row>
    <row r="36" spans="2:19" ht="15.75" thickBot="1"/>
    <row r="37" spans="2:19" s="21" customFormat="1" ht="21.75" thickBot="1">
      <c r="B37" s="18" t="s">
        <v>350</v>
      </c>
      <c r="C37" s="19"/>
      <c r="D37" s="48"/>
      <c r="E37" s="19"/>
      <c r="F37" s="19"/>
      <c r="G37" s="19"/>
      <c r="H37" s="19"/>
      <c r="I37" s="19"/>
      <c r="J37" s="19"/>
      <c r="K37" s="20"/>
      <c r="O37"/>
      <c r="P37"/>
      <c r="Q37"/>
      <c r="R37"/>
      <c r="S37"/>
    </row>
    <row r="38" spans="2:19" s="28" customFormat="1" ht="19.899999999999999" customHeight="1">
      <c r="B38" s="40" t="s">
        <v>351</v>
      </c>
      <c r="C38" s="41"/>
      <c r="D38" s="42" t="s">
        <v>365</v>
      </c>
      <c r="E38" s="76">
        <f>IF(AND(E19&gt;=_Neigungswinkel_für_NB_Bund,E19&lt;=90),E27*E26/1000*_Neigungswinkelbonus_Bund,0)</f>
        <v>0</v>
      </c>
      <c r="F38" s="483" t="s">
        <v>353</v>
      </c>
      <c r="G38" s="41"/>
      <c r="H38" s="76">
        <f>IF(AND(E19&gt;=_Neigungswinkel_für_NB_Bund,E19&lt;=90),E28*E26/1000*_Neigungswinkelbonus_Bund,0)</f>
        <v>0</v>
      </c>
      <c r="I38" s="41" t="s">
        <v>354</v>
      </c>
      <c r="J38" s="41"/>
      <c r="K38" s="39"/>
    </row>
    <row r="39" spans="2:19" s="28" customFormat="1" ht="19.899999999999999" customHeight="1">
      <c r="B39" s="33" t="s">
        <v>359</v>
      </c>
      <c r="C39" s="35"/>
      <c r="D39" s="34" t="s">
        <v>364</v>
      </c>
      <c r="E39" s="482">
        <f>IFERROR(IF(AND(E16=M16,E27*E26/1000&gt;=_Schwelle_PPBonus),E27*E26/1000*_Parkplatzbonus_pronovo,0),0)</f>
        <v>0</v>
      </c>
      <c r="F39" s="29" t="s">
        <v>353</v>
      </c>
      <c r="G39" s="35"/>
      <c r="H39" s="482">
        <f>IFERROR(IF(AND(E16=M16,E28*E26/1000&gt;=_Schwelle_PPBonus),E28*E26/1000*_Parkplatzbonus_pronovo,0),0)</f>
        <v>0</v>
      </c>
      <c r="I39" s="35" t="s">
        <v>354</v>
      </c>
      <c r="J39" s="35"/>
      <c r="K39" s="30"/>
    </row>
    <row r="40" spans="2:19" s="28" customFormat="1" ht="19.899999999999999" customHeight="1">
      <c r="B40" s="33" t="s">
        <v>352</v>
      </c>
      <c r="C40" s="35"/>
      <c r="D40" s="34" t="s">
        <v>362</v>
      </c>
      <c r="E40" s="482">
        <f>IFERROR(IF(AND(E19&gt;=_Neigungswinkel_für_NB_Bund,E19&lt;=90),E27*_Modullänge_Standard*_Modulbreite_Standard*_ZuschlagSteil_Stadt,0),0)</f>
        <v>0</v>
      </c>
      <c r="F40" s="29" t="s">
        <v>353</v>
      </c>
      <c r="G40" s="35"/>
      <c r="H40" s="482">
        <f>IFERROR(IF(AND(E19&gt;=_Neigungswinkel_für_NB_Bund,E19&lt;=90),E28*_Modullänge_Standard*_Modulbreite_Standard*_ZuschlagSteil_Stadt,0),0)</f>
        <v>0</v>
      </c>
      <c r="I40" s="35" t="s">
        <v>354</v>
      </c>
      <c r="J40" s="35"/>
      <c r="K40" s="30"/>
    </row>
    <row r="41" spans="2:19" s="28" customFormat="1" ht="19.899999999999999" customHeight="1" thickBot="1">
      <c r="B41" s="36" t="s">
        <v>337</v>
      </c>
      <c r="C41" s="37"/>
      <c r="D41" s="71" t="s">
        <v>363</v>
      </c>
      <c r="E41" s="78">
        <f>IF(AND((ABS($E18)+_AbweichungNord)&gt;=180,E19&lt;_Neigungswinkel_für_NB_Bund),E27*E26/1000*_ZuschlagNord_Stadt,0)</f>
        <v>0</v>
      </c>
      <c r="F41" s="31" t="s">
        <v>353</v>
      </c>
      <c r="G41" s="37"/>
      <c r="H41" s="78">
        <f>IF(AND((ABS($E18)+_AbweichungNord)&gt;=180,E19&lt;_Neigungswinkel_für_NB_Bund),E28*E26/1000*_ZuschlagNord_Stadt,0)</f>
        <v>0</v>
      </c>
      <c r="I41" s="37" t="s">
        <v>354</v>
      </c>
      <c r="J41" s="37"/>
      <c r="K41" s="32"/>
    </row>
    <row r="42" spans="2:19" ht="15.75" thickBot="1"/>
    <row r="43" spans="2:19" s="21" customFormat="1" ht="21.75" thickBot="1">
      <c r="B43" s="18" t="s">
        <v>189</v>
      </c>
      <c r="C43" s="19"/>
      <c r="D43" s="48"/>
      <c r="E43" s="19"/>
      <c r="F43" s="19"/>
      <c r="G43" s="19"/>
      <c r="H43" s="19"/>
      <c r="I43" s="19"/>
      <c r="J43" s="19"/>
      <c r="K43" s="20"/>
      <c r="O43"/>
      <c r="P43"/>
      <c r="Q43"/>
      <c r="R43"/>
      <c r="S43"/>
    </row>
    <row r="44" spans="2:19" s="23" customFormat="1" ht="15" hidden="1">
      <c r="B44" s="79"/>
      <c r="D44" s="23" t="s">
        <v>84</v>
      </c>
      <c r="F44" s="23">
        <v>-90</v>
      </c>
      <c r="G44" s="23">
        <v>-180</v>
      </c>
      <c r="H44" s="23">
        <v>90</v>
      </c>
      <c r="K44" s="80"/>
    </row>
    <row r="45" spans="2:19" s="23" customFormat="1" ht="15" hidden="1">
      <c r="B45" s="79"/>
      <c r="D45" s="23" t="s">
        <v>69</v>
      </c>
      <c r="F45" s="81">
        <f>RADIANS(F44)</f>
        <v>-1.5707963267948966</v>
      </c>
      <c r="G45" s="81">
        <f t="shared" ref="G45:H45" si="0">RADIANS(G44)</f>
        <v>-3.1415926535897931</v>
      </c>
      <c r="H45" s="81">
        <f t="shared" si="0"/>
        <v>1.5707963267948966</v>
      </c>
      <c r="K45" s="80"/>
    </row>
    <row r="46" spans="2:19" s="23" customFormat="1" ht="15" hidden="1">
      <c r="B46" s="79"/>
      <c r="D46" s="23" t="s">
        <v>70</v>
      </c>
      <c r="F46" s="23">
        <v>1</v>
      </c>
      <c r="G46" s="23">
        <v>3</v>
      </c>
      <c r="H46" s="23">
        <v>1</v>
      </c>
      <c r="K46" s="80"/>
    </row>
    <row r="47" spans="2:19" s="23" customFormat="1" ht="15" hidden="1">
      <c r="B47" s="79"/>
      <c r="D47" s="23" t="s">
        <v>85</v>
      </c>
      <c r="F47" s="82">
        <f>$F$46*SIN(ATAN(1/$F$46))/SIN(ASIN(SIN($E$21)*COS($F$45-PI()+$E$20))+ATAN(1/$F$46))</f>
        <v>1</v>
      </c>
      <c r="G47" s="82">
        <f>$G$46*SIN(ATAN(1/$G$46))/SIN(ASIN(SIN(-$E$21)*COS($G$45-PI()+$E$20))+ATAN(1/$G$46))</f>
        <v>3</v>
      </c>
      <c r="H47" s="82">
        <f>$H$46*SIN(ATAN(1/$H$46))/SIN(ASIN(SIN($E$21)*COS($H$45-PI()+$E$20))+ATAN(1/$H$46))</f>
        <v>1</v>
      </c>
      <c r="K47" s="80"/>
    </row>
    <row r="48" spans="2:19" s="23" customFormat="1" ht="15" hidden="1">
      <c r="B48" s="79"/>
      <c r="D48" s="23" t="s">
        <v>72</v>
      </c>
      <c r="F48" s="81">
        <f>ASIN(SIN($E$21)*COS(F45-$E$20))</f>
        <v>0</v>
      </c>
      <c r="G48" s="81">
        <f>ASIN(SIN($E$21)*COS(G45-$E$20))</f>
        <v>0</v>
      </c>
      <c r="H48" s="81">
        <f>ASIN(SIN($E$21)*COS(H45-$E$20))</f>
        <v>0</v>
      </c>
      <c r="K48" s="80"/>
    </row>
    <row r="49" spans="2:11" s="23" customFormat="1" ht="15" hidden="1">
      <c r="B49" s="79"/>
      <c r="D49" s="23" t="s">
        <v>73</v>
      </c>
      <c r="F49" s="83">
        <f>F48*180/PI()</f>
        <v>0</v>
      </c>
      <c r="G49" s="83">
        <f t="shared" ref="G49:H49" si="1">G48*180/PI()</f>
        <v>0</v>
      </c>
      <c r="H49" s="83">
        <f t="shared" si="1"/>
        <v>0</v>
      </c>
      <c r="K49" s="80"/>
    </row>
    <row r="50" spans="2:11" s="262" customFormat="1" ht="59.45" customHeight="1">
      <c r="B50" s="684" t="str">
        <f>"Zum Dachrand, sowie um Dachaufbauten wie Fenster, Lukarnen, Kamine, Lüftungsrohre etc. dürfen Abstände von "&amp;_Modul_Randabstand&amp;" m berücksichtigt werden. Die Verschattungsabstände durch hohe Objekte können zudem gemäss Kallkulation nach untenstehender Tabelle berücksichtigt werden. (Abstände auf der Dachfläche in die entsprechende Himmelsrichtung)"</f>
        <v>Zum Dachrand, sowie um Dachaufbauten wie Fenster, Lukarnen, Kamine, Lüftungsrohre etc. dürfen Abstände von 0.2 m berücksichtigt werden. Die Verschattungsabstände durch hohe Objekte können zudem gemäss Kallkulation nach untenstehender Tabelle berücksichtigt werden. (Abstände auf der Dachfläche in die entsprechende Himmelsrichtung)</v>
      </c>
      <c r="C50" s="685"/>
      <c r="D50" s="685"/>
      <c r="E50" s="685"/>
      <c r="F50" s="685"/>
      <c r="G50" s="685"/>
      <c r="H50" s="685"/>
      <c r="I50" s="685"/>
      <c r="J50" s="685"/>
      <c r="K50" s="686"/>
    </row>
    <row r="51" spans="2:11" s="28" customFormat="1" ht="19.899999999999999" customHeight="1">
      <c r="B51" s="49"/>
      <c r="C51" s="50"/>
      <c r="D51" s="51"/>
      <c r="E51" s="84"/>
      <c r="F51" s="683" t="s">
        <v>87</v>
      </c>
      <c r="G51" s="683"/>
      <c r="H51" s="683"/>
      <c r="K51" s="86"/>
    </row>
    <row r="52" spans="2:11" s="28" customFormat="1" ht="19.899999999999999" customHeight="1">
      <c r="B52" s="49" t="s">
        <v>91</v>
      </c>
      <c r="C52" s="50" t="s">
        <v>20</v>
      </c>
      <c r="D52" s="51"/>
      <c r="E52" s="87" t="s">
        <v>114</v>
      </c>
      <c r="F52" s="85" t="s">
        <v>88</v>
      </c>
      <c r="G52" s="85" t="s">
        <v>89</v>
      </c>
      <c r="H52" s="85" t="s">
        <v>90</v>
      </c>
      <c r="K52" s="86"/>
    </row>
    <row r="53" spans="2:11" s="28" customFormat="1" ht="19.899999999999999" customHeight="1">
      <c r="B53" s="88" t="s">
        <v>92</v>
      </c>
      <c r="C53" s="89"/>
      <c r="D53" s="90"/>
      <c r="E53" s="91" t="s">
        <v>86</v>
      </c>
      <c r="F53" s="91" t="s">
        <v>86</v>
      </c>
      <c r="G53" s="91" t="s">
        <v>86</v>
      </c>
      <c r="H53" s="91" t="s">
        <v>86</v>
      </c>
      <c r="I53" s="92"/>
      <c r="J53" s="92"/>
      <c r="K53" s="93"/>
    </row>
    <row r="54" spans="2:11" s="28" customFormat="1" ht="19.899999999999999" customHeight="1">
      <c r="B54" s="94">
        <v>1</v>
      </c>
      <c r="C54" s="315"/>
      <c r="D54" s="315"/>
      <c r="E54" s="316"/>
      <c r="F54" s="95" t="str">
        <f t="shared" ref="F54:F65" si="2">IF(ISNUMBER($E54),$E54*IF($F$47&gt;0,MIN($F$46:$F$47),MAX($F$46:$F$47)),"")</f>
        <v/>
      </c>
      <c r="G54" s="95" t="str">
        <f t="shared" ref="G54:G65" si="3">IF(ISNUMBER($E54),$E54*IF($G$47&gt;0,MIN($G$46:$G$47),MAX($G$46:$G$47)),"")</f>
        <v/>
      </c>
      <c r="H54" s="95" t="str">
        <f t="shared" ref="H54:H65" si="4">IF(ISNUMBER($E54),$E54*IF($H$47&gt;0,MIN($H$46:$H$47),MAX($H$46:$H$47)),"")</f>
        <v/>
      </c>
      <c r="I54" s="73"/>
      <c r="J54" s="73"/>
      <c r="K54" s="74"/>
    </row>
    <row r="55" spans="2:11" s="28" customFormat="1" ht="19.899999999999999" customHeight="1">
      <c r="B55" s="96">
        <v>2</v>
      </c>
      <c r="C55" s="317"/>
      <c r="D55" s="317"/>
      <c r="E55" s="318"/>
      <c r="F55" s="97" t="str">
        <f t="shared" si="2"/>
        <v/>
      </c>
      <c r="G55" s="97" t="str">
        <f t="shared" si="3"/>
        <v/>
      </c>
      <c r="H55" s="97" t="str">
        <f t="shared" si="4"/>
        <v/>
      </c>
      <c r="I55" s="35"/>
      <c r="J55" s="35"/>
      <c r="K55" s="30"/>
    </row>
    <row r="56" spans="2:11" s="28" customFormat="1" ht="19.899999999999999" customHeight="1">
      <c r="B56" s="96">
        <v>3</v>
      </c>
      <c r="C56" s="317"/>
      <c r="D56" s="317"/>
      <c r="E56" s="318"/>
      <c r="F56" s="97" t="str">
        <f t="shared" si="2"/>
        <v/>
      </c>
      <c r="G56" s="97" t="str">
        <f t="shared" si="3"/>
        <v/>
      </c>
      <c r="H56" s="97" t="str">
        <f t="shared" si="4"/>
        <v/>
      </c>
      <c r="I56" s="35"/>
      <c r="J56" s="35"/>
      <c r="K56" s="30"/>
    </row>
    <row r="57" spans="2:11" s="28" customFormat="1" ht="19.899999999999999" customHeight="1">
      <c r="B57" s="96">
        <v>4</v>
      </c>
      <c r="C57" s="317"/>
      <c r="D57" s="317"/>
      <c r="E57" s="318"/>
      <c r="F57" s="97" t="str">
        <f t="shared" si="2"/>
        <v/>
      </c>
      <c r="G57" s="97" t="str">
        <f t="shared" si="3"/>
        <v/>
      </c>
      <c r="H57" s="97" t="str">
        <f t="shared" si="4"/>
        <v/>
      </c>
      <c r="I57" s="35"/>
      <c r="J57" s="35"/>
      <c r="K57" s="30"/>
    </row>
    <row r="58" spans="2:11" s="28" customFormat="1" ht="19.899999999999999" customHeight="1">
      <c r="B58" s="96">
        <v>5</v>
      </c>
      <c r="C58" s="317"/>
      <c r="D58" s="317"/>
      <c r="E58" s="318"/>
      <c r="F58" s="97" t="str">
        <f t="shared" si="2"/>
        <v/>
      </c>
      <c r="G58" s="97" t="str">
        <f t="shared" si="3"/>
        <v/>
      </c>
      <c r="H58" s="97" t="str">
        <f t="shared" si="4"/>
        <v/>
      </c>
      <c r="I58" s="35"/>
      <c r="J58" s="35"/>
      <c r="K58" s="30"/>
    </row>
    <row r="59" spans="2:11" s="28" customFormat="1" ht="19.899999999999999" customHeight="1">
      <c r="B59" s="96">
        <v>6</v>
      </c>
      <c r="C59" s="317"/>
      <c r="D59" s="317"/>
      <c r="E59" s="318"/>
      <c r="F59" s="97" t="str">
        <f t="shared" si="2"/>
        <v/>
      </c>
      <c r="G59" s="97" t="str">
        <f t="shared" si="3"/>
        <v/>
      </c>
      <c r="H59" s="97" t="str">
        <f t="shared" si="4"/>
        <v/>
      </c>
      <c r="I59" s="35"/>
      <c r="J59" s="35"/>
      <c r="K59" s="30"/>
    </row>
    <row r="60" spans="2:11" s="28" customFormat="1" ht="19.899999999999999" customHeight="1">
      <c r="B60" s="96">
        <v>7</v>
      </c>
      <c r="C60" s="317"/>
      <c r="D60" s="317"/>
      <c r="E60" s="318"/>
      <c r="F60" s="97" t="str">
        <f t="shared" si="2"/>
        <v/>
      </c>
      <c r="G60" s="97" t="str">
        <f t="shared" si="3"/>
        <v/>
      </c>
      <c r="H60" s="97" t="str">
        <f t="shared" si="4"/>
        <v/>
      </c>
      <c r="I60" s="35"/>
      <c r="J60" s="35"/>
      <c r="K60" s="30"/>
    </row>
    <row r="61" spans="2:11" s="28" customFormat="1" ht="19.899999999999999" customHeight="1">
      <c r="B61" s="96">
        <v>8</v>
      </c>
      <c r="C61" s="317"/>
      <c r="D61" s="317"/>
      <c r="E61" s="318"/>
      <c r="F61" s="97" t="str">
        <f t="shared" si="2"/>
        <v/>
      </c>
      <c r="G61" s="97" t="str">
        <f t="shared" si="3"/>
        <v/>
      </c>
      <c r="H61" s="97" t="str">
        <f t="shared" si="4"/>
        <v/>
      </c>
      <c r="I61" s="35"/>
      <c r="J61" s="35"/>
      <c r="K61" s="30"/>
    </row>
    <row r="62" spans="2:11" s="28" customFormat="1" ht="19.899999999999999" customHeight="1">
      <c r="B62" s="96">
        <v>9</v>
      </c>
      <c r="C62" s="317"/>
      <c r="D62" s="317"/>
      <c r="E62" s="318"/>
      <c r="F62" s="97" t="str">
        <f t="shared" si="2"/>
        <v/>
      </c>
      <c r="G62" s="97" t="str">
        <f t="shared" si="3"/>
        <v/>
      </c>
      <c r="H62" s="97" t="str">
        <f t="shared" si="4"/>
        <v/>
      </c>
      <c r="I62" s="35"/>
      <c r="J62" s="35"/>
      <c r="K62" s="30"/>
    </row>
    <row r="63" spans="2:11" s="28" customFormat="1" ht="19.899999999999999" customHeight="1">
      <c r="B63" s="96">
        <v>10</v>
      </c>
      <c r="C63" s="317"/>
      <c r="D63" s="317"/>
      <c r="E63" s="318"/>
      <c r="F63" s="29" t="str">
        <f t="shared" si="2"/>
        <v/>
      </c>
      <c r="G63" s="29" t="str">
        <f t="shared" si="3"/>
        <v/>
      </c>
      <c r="H63" s="29" t="str">
        <f t="shared" si="4"/>
        <v/>
      </c>
      <c r="I63" s="35"/>
      <c r="J63" s="35"/>
      <c r="K63" s="30"/>
    </row>
    <row r="64" spans="2:11" s="28" customFormat="1" ht="19.899999999999999" customHeight="1">
      <c r="B64" s="96">
        <v>11</v>
      </c>
      <c r="C64" s="317"/>
      <c r="D64" s="317"/>
      <c r="E64" s="318"/>
      <c r="F64" s="29" t="str">
        <f t="shared" si="2"/>
        <v/>
      </c>
      <c r="G64" s="29" t="str">
        <f t="shared" si="3"/>
        <v/>
      </c>
      <c r="H64" s="29" t="str">
        <f t="shared" si="4"/>
        <v/>
      </c>
      <c r="I64" s="35"/>
      <c r="J64" s="35"/>
      <c r="K64" s="30"/>
    </row>
    <row r="65" spans="2:11" s="28" customFormat="1" ht="19.899999999999999" customHeight="1" thickBot="1">
      <c r="B65" s="98">
        <v>12</v>
      </c>
      <c r="C65" s="319"/>
      <c r="D65" s="319"/>
      <c r="E65" s="320"/>
      <c r="F65" s="31" t="str">
        <f t="shared" si="2"/>
        <v/>
      </c>
      <c r="G65" s="31" t="str">
        <f t="shared" si="3"/>
        <v/>
      </c>
      <c r="H65" s="31" t="str">
        <f t="shared" si="4"/>
        <v/>
      </c>
      <c r="I65" s="37"/>
      <c r="J65" s="37"/>
      <c r="K65" s="32"/>
    </row>
    <row r="66" spans="2:11" ht="15"/>
    <row r="67" spans="2:11" ht="15" hidden="1"/>
    <row r="68" spans="2:11" ht="14.45" customHeight="1"/>
  </sheetData>
  <sheetProtection algorithmName="SHA-512" hashValue="tc/gKskEh4sqHvl0jl1qvHBIzpVOHbVMunIPVVSpSBcQ5De7XvT46rMpMY+pwVzX+U80hqFv6UyK138geuzBNg==" saltValue="qM4uoiWXiVwJcvZAiB1tgA==" spinCount="100000" sheet="1" objects="1" scenarios="1" selectLockedCells="1" autoFilter="0"/>
  <mergeCells count="17">
    <mergeCell ref="E2:J4"/>
    <mergeCell ref="E11:F11"/>
    <mergeCell ref="B9:C9"/>
    <mergeCell ref="E9:F9"/>
    <mergeCell ref="H9:J9"/>
    <mergeCell ref="B10:C10"/>
    <mergeCell ref="E10:F10"/>
    <mergeCell ref="H10:J10"/>
    <mergeCell ref="H11:J11"/>
    <mergeCell ref="B11:C11"/>
    <mergeCell ref="B50:K50"/>
    <mergeCell ref="F51:H51"/>
    <mergeCell ref="B12:C12"/>
    <mergeCell ref="E12:F12"/>
    <mergeCell ref="E15:F15"/>
    <mergeCell ref="E24:F24"/>
    <mergeCell ref="B16:C16"/>
  </mergeCells>
  <dataValidations count="2">
    <dataValidation type="list" allowBlank="1" showInputMessage="1" showErrorMessage="1" sqref="E24:E25" xr:uid="{00000000-0002-0000-0D00-000000000000}">
      <formula1>$G$24:$H$24</formula1>
    </dataValidation>
    <dataValidation type="list" allowBlank="1" showInputMessage="1" showErrorMessage="1" sqref="E16" xr:uid="{61BCBE75-CF3E-451B-8B90-372798080F4E}">
      <formula1>$M$16:$M$17</formula1>
    </dataValidation>
  </dataValidations>
  <pageMargins left="0.7" right="0.7" top="0.78740157499999996" bottom="0.78740157499999996" header="0.3" footer="0.3"/>
  <pageSetup paperSize="9" scale="64" orientation="portrait" r:id="rId1"/>
  <colBreaks count="1" manualBreakCount="1">
    <brk id="12" max="1048575"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S68"/>
  <sheetViews>
    <sheetView topLeftCell="A13" workbookViewId="0">
      <selection activeCell="E54" sqref="E54"/>
    </sheetView>
  </sheetViews>
  <sheetFormatPr baseColWidth="10" defaultColWidth="0" defaultRowHeight="14.45" customHeight="1" zeroHeight="1"/>
  <cols>
    <col min="1" max="1" width="4.7109375" customWidth="1"/>
    <col min="2" max="2" width="8.28515625" customWidth="1"/>
    <col min="3" max="3" width="24.85546875" customWidth="1"/>
    <col min="4" max="4" width="7.85546875" style="23" hidden="1" customWidth="1"/>
    <col min="5" max="5" width="12.28515625" customWidth="1"/>
    <col min="6" max="8" width="14.42578125" customWidth="1"/>
    <col min="9" max="10" width="11.42578125" customWidth="1"/>
    <col min="11" max="11" width="12.7109375" bestFit="1" customWidth="1"/>
    <col min="12" max="12" width="5.28515625" customWidth="1"/>
    <col min="13" max="16384" width="11.42578125" hidden="1"/>
  </cols>
  <sheetData>
    <row r="1" spans="1:19" ht="15.75" thickBot="1">
      <c r="A1" s="27" t="str">
        <f ca="1">MID(CELL("dateiname",A1),SEARCH("]",CELL("dateiname",A1))+1,31)</f>
        <v>TF (12)</v>
      </c>
    </row>
    <row r="2" spans="1:19" ht="15" customHeight="1">
      <c r="B2" s="389"/>
      <c r="C2" s="390"/>
      <c r="D2" s="390"/>
      <c r="E2" s="666" t="str">
        <f>_Dok_Titel</f>
        <v>Planungshilfe
Solar- und Photovoltaikanlagen auf Schrägdächern (Art. 77 Abs. 3 und 4 BZR)
Formular-Release 2.5</v>
      </c>
      <c r="F2" s="666"/>
      <c r="G2" s="666"/>
      <c r="H2" s="666"/>
      <c r="I2" s="666"/>
      <c r="J2" s="666"/>
      <c r="K2" s="391"/>
    </row>
    <row r="3" spans="1:19" ht="15" customHeight="1">
      <c r="B3" s="392"/>
      <c r="C3" s="393"/>
      <c r="D3" s="393"/>
      <c r="E3" s="667"/>
      <c r="F3" s="667"/>
      <c r="G3" s="667"/>
      <c r="H3" s="667"/>
      <c r="I3" s="667"/>
      <c r="J3" s="667"/>
      <c r="K3" s="394"/>
    </row>
    <row r="4" spans="1:19" ht="34.15" customHeight="1" thickBot="1">
      <c r="B4" s="395"/>
      <c r="C4" s="396"/>
      <c r="D4" s="396"/>
      <c r="E4" s="668"/>
      <c r="F4" s="668"/>
      <c r="G4" s="668"/>
      <c r="H4" s="668"/>
      <c r="I4" s="668"/>
      <c r="J4" s="668"/>
      <c r="K4" s="397"/>
    </row>
    <row r="5" spans="1:19" ht="15.75" thickBot="1"/>
    <row r="6" spans="1:19" s="21" customFormat="1" ht="21.75" thickBot="1">
      <c r="B6" s="18" t="str">
        <f ca="1">"Zusammenstellung Kennwerte Teilfläche "&amp;MID(CELL("dateiname",A1),SEARCH("]",CELL("dateiname",A1))+1,31)</f>
        <v>Zusammenstellung Kennwerte Teilfläche TF (12)</v>
      </c>
      <c r="C6" s="19"/>
      <c r="D6" s="48"/>
      <c r="E6" s="19"/>
      <c r="F6" s="19"/>
      <c r="G6" s="19"/>
      <c r="H6" s="19"/>
      <c r="I6" s="19"/>
      <c r="J6" s="19"/>
      <c r="K6" s="20"/>
      <c r="O6"/>
      <c r="P6"/>
      <c r="Q6"/>
      <c r="R6"/>
      <c r="S6"/>
    </row>
    <row r="7" spans="1:19" ht="15.75" thickBot="1"/>
    <row r="8" spans="1:19" s="21" customFormat="1" ht="21.75" thickBot="1">
      <c r="B8" s="18" t="s">
        <v>26</v>
      </c>
      <c r="C8" s="19"/>
      <c r="D8" s="48"/>
      <c r="E8" s="19"/>
      <c r="F8" s="19"/>
      <c r="G8" s="19"/>
      <c r="H8" s="19"/>
      <c r="I8" s="19"/>
      <c r="J8" s="19"/>
      <c r="K8" s="20"/>
      <c r="O8"/>
      <c r="P8"/>
      <c r="Q8"/>
      <c r="R8"/>
      <c r="S8"/>
    </row>
    <row r="9" spans="1:19" s="28" customFormat="1" ht="19.899999999999999" customHeight="1">
      <c r="B9" s="551" t="str">
        <f>Bericht!B7</f>
        <v>Projektname</v>
      </c>
      <c r="C9" s="552"/>
      <c r="D9" s="415"/>
      <c r="E9" s="669">
        <f>_Projektname</f>
        <v>0</v>
      </c>
      <c r="F9" s="669"/>
      <c r="G9" s="426"/>
      <c r="H9" s="649" t="str">
        <f>Bericht!J7</f>
        <v>Netzversorger:</v>
      </c>
      <c r="I9" s="649"/>
      <c r="J9" s="649"/>
      <c r="K9" s="138" t="str">
        <f>_Netzversorger</f>
        <v>ckw</v>
      </c>
    </row>
    <row r="10" spans="1:19" s="28" customFormat="1" ht="19.899999999999999" customHeight="1">
      <c r="B10" s="553" t="str">
        <f>Bericht!B8</f>
        <v>Adresse</v>
      </c>
      <c r="C10" s="554"/>
      <c r="D10" s="416"/>
      <c r="E10" s="670">
        <f>_Adresse</f>
        <v>0</v>
      </c>
      <c r="F10" s="670"/>
      <c r="G10" s="427"/>
      <c r="H10" s="650" t="str">
        <f>Bericht!J8</f>
        <v>Geplantes Datum Fertigstellung:</v>
      </c>
      <c r="I10" s="650"/>
      <c r="J10" s="650"/>
      <c r="K10" s="139">
        <f>_Datum_IBS</f>
        <v>0</v>
      </c>
      <c r="L10" s="410"/>
    </row>
    <row r="11" spans="1:19" s="28" customFormat="1" ht="19.899999999999999" customHeight="1">
      <c r="B11" s="553" t="str">
        <f>Bericht!B9</f>
        <v>PLZ Ort</v>
      </c>
      <c r="C11" s="554"/>
      <c r="D11" s="416"/>
      <c r="E11" s="670">
        <f>_PLZ</f>
        <v>0</v>
      </c>
      <c r="F11" s="670"/>
      <c r="G11" s="427"/>
      <c r="H11" s="650" t="s">
        <v>277</v>
      </c>
      <c r="I11" s="650"/>
      <c r="J11" s="650"/>
      <c r="K11" s="409">
        <f>_Letzte_REV</f>
        <v>46042</v>
      </c>
      <c r="L11" s="411"/>
    </row>
    <row r="12" spans="1:19" s="28" customFormat="1" ht="19.899999999999999" customHeight="1" thickBot="1">
      <c r="B12" s="680" t="s">
        <v>138</v>
      </c>
      <c r="C12" s="681"/>
      <c r="D12" s="31"/>
      <c r="E12" s="556">
        <f>Bericht!D10</f>
        <v>0</v>
      </c>
      <c r="F12" s="556"/>
      <c r="G12" s="428"/>
      <c r="H12" s="31" t="s">
        <v>278</v>
      </c>
      <c r="I12" s="31"/>
      <c r="J12" s="31"/>
      <c r="K12" s="358">
        <f>_Nächste_REV</f>
        <v>46357</v>
      </c>
      <c r="L12" s="411"/>
    </row>
    <row r="13" spans="1:19" ht="15.75" thickBot="1"/>
    <row r="14" spans="1:19" s="21" customFormat="1" ht="21.75" thickBot="1">
      <c r="B14" s="18" t="s">
        <v>75</v>
      </c>
      <c r="C14" s="19"/>
      <c r="D14" s="48"/>
      <c r="E14" s="19"/>
      <c r="F14" s="19"/>
      <c r="G14" s="19"/>
      <c r="H14" s="19"/>
      <c r="I14" s="19"/>
      <c r="J14" s="19"/>
      <c r="K14" s="20"/>
      <c r="O14"/>
      <c r="P14"/>
      <c r="Q14"/>
      <c r="R14"/>
      <c r="S14"/>
    </row>
    <row r="15" spans="1:19" s="28" customFormat="1" ht="19.899999999999999" customHeight="1">
      <c r="B15" s="40" t="s">
        <v>93</v>
      </c>
      <c r="C15" s="41"/>
      <c r="D15" s="42" t="s">
        <v>155</v>
      </c>
      <c r="E15" s="679"/>
      <c r="F15" s="679"/>
      <c r="G15" s="41"/>
      <c r="H15" s="41"/>
      <c r="I15" s="41"/>
      <c r="J15" s="41"/>
      <c r="K15" s="39"/>
    </row>
    <row r="16" spans="1:19" s="28" customFormat="1" ht="19.899999999999999" customHeight="1">
      <c r="B16" s="682" t="s">
        <v>355</v>
      </c>
      <c r="C16" s="616"/>
      <c r="D16" s="66" t="s">
        <v>366</v>
      </c>
      <c r="E16" s="489" t="s">
        <v>358</v>
      </c>
      <c r="F16" s="29"/>
      <c r="G16" s="73" t="s">
        <v>356</v>
      </c>
      <c r="H16" s="73"/>
      <c r="I16" s="73"/>
      <c r="J16" s="73"/>
      <c r="K16" s="74"/>
      <c r="M16" s="28" t="s">
        <v>357</v>
      </c>
    </row>
    <row r="17" spans="2:19" s="28" customFormat="1" ht="19.899999999999999" customHeight="1">
      <c r="B17" s="72" t="s">
        <v>96</v>
      </c>
      <c r="C17" s="73"/>
      <c r="D17" s="66" t="s">
        <v>129</v>
      </c>
      <c r="E17" s="270"/>
      <c r="F17" s="65" t="s">
        <v>127</v>
      </c>
      <c r="G17" s="73" t="s">
        <v>234</v>
      </c>
      <c r="H17" s="73"/>
      <c r="I17" s="73"/>
      <c r="J17" s="73"/>
      <c r="K17" s="74"/>
      <c r="M17" s="28" t="s">
        <v>358</v>
      </c>
    </row>
    <row r="18" spans="2:19" s="28" customFormat="1" ht="19.899999999999999" customHeight="1">
      <c r="B18" s="33" t="s">
        <v>94</v>
      </c>
      <c r="C18" s="35"/>
      <c r="D18" s="34" t="s">
        <v>37</v>
      </c>
      <c r="E18" s="271"/>
      <c r="F18" s="29" t="s">
        <v>54</v>
      </c>
      <c r="G18" s="35" t="s">
        <v>67</v>
      </c>
      <c r="H18" s="35"/>
      <c r="I18" s="35"/>
      <c r="J18" s="35"/>
      <c r="K18" s="30"/>
    </row>
    <row r="19" spans="2:19" s="28" customFormat="1" ht="19.899999999999999" customHeight="1" thickBot="1">
      <c r="B19" s="36" t="s">
        <v>95</v>
      </c>
      <c r="C19" s="37"/>
      <c r="D19" s="71" t="s">
        <v>38</v>
      </c>
      <c r="E19" s="272"/>
      <c r="F19" s="31" t="s">
        <v>54</v>
      </c>
      <c r="G19" s="37" t="s">
        <v>68</v>
      </c>
      <c r="H19" s="37"/>
      <c r="I19" s="37"/>
      <c r="J19" s="37"/>
      <c r="K19" s="32"/>
    </row>
    <row r="20" spans="2:19" s="23" customFormat="1" ht="15" hidden="1" customHeight="1">
      <c r="C20" s="23" t="s">
        <v>74</v>
      </c>
      <c r="E20" s="23">
        <f>RADIANS(E18)</f>
        <v>0</v>
      </c>
    </row>
    <row r="21" spans="2:19" s="23" customFormat="1" ht="15" hidden="1">
      <c r="C21" s="23" t="s">
        <v>71</v>
      </c>
      <c r="E21" s="23">
        <f>-RADIANS(E19)</f>
        <v>0</v>
      </c>
    </row>
    <row r="22" spans="2:19" ht="15.75" thickBot="1"/>
    <row r="23" spans="2:19" s="21" customFormat="1" ht="21.75" thickBot="1">
      <c r="B23" s="18" t="s">
        <v>50</v>
      </c>
      <c r="C23" s="19"/>
      <c r="D23" s="48"/>
      <c r="E23" s="19"/>
      <c r="F23" s="19"/>
      <c r="G23" s="19"/>
      <c r="H23" s="19"/>
      <c r="I23" s="19"/>
      <c r="J23" s="19"/>
      <c r="K23" s="20"/>
      <c r="O23"/>
      <c r="P23"/>
      <c r="Q23"/>
      <c r="R23"/>
      <c r="S23"/>
    </row>
    <row r="24" spans="2:19" s="28" customFormat="1" ht="19.899999999999999" customHeight="1">
      <c r="B24" s="40" t="s">
        <v>51</v>
      </c>
      <c r="C24" s="41"/>
      <c r="D24" s="42" t="s">
        <v>76</v>
      </c>
      <c r="E24" s="687" t="s">
        <v>105</v>
      </c>
      <c r="F24" s="687"/>
      <c r="G24" s="41" t="s">
        <v>104</v>
      </c>
      <c r="H24" s="41" t="s">
        <v>105</v>
      </c>
      <c r="I24" s="41"/>
      <c r="J24" s="41"/>
      <c r="K24" s="39"/>
    </row>
    <row r="25" spans="2:19" s="28" customFormat="1" ht="19.899999999999999" customHeight="1">
      <c r="B25" s="72" t="s">
        <v>229</v>
      </c>
      <c r="C25" s="73"/>
      <c r="D25" s="66" t="s">
        <v>235</v>
      </c>
      <c r="E25" s="485" t="str">
        <f>IF((ABS($E18)+_AbweichungNord)&gt;180,"Satiniert","Standard")</f>
        <v>Standard</v>
      </c>
      <c r="F25" s="485"/>
      <c r="G25" s="73"/>
      <c r="H25" s="73"/>
      <c r="I25" s="73"/>
      <c r="J25" s="73"/>
      <c r="K25" s="74"/>
    </row>
    <row r="26" spans="2:19" s="28" customFormat="1" ht="19.899999999999999" customHeight="1">
      <c r="B26" s="33" t="s">
        <v>49</v>
      </c>
      <c r="C26" s="35"/>
      <c r="D26" s="34" t="s">
        <v>40</v>
      </c>
      <c r="E26" s="29">
        <f>IF((ABS($E18)+_AbweichungNord)&gt;180,_Modulleistung_Satin,_Modulleistung_Standard)</f>
        <v>485</v>
      </c>
      <c r="F26" s="29" t="s">
        <v>58</v>
      </c>
      <c r="G26" s="35" t="str">
        <f ca="1">"Modulleistung definiert im Tab "&amp;Datengrundlage!A1&amp;""</f>
        <v>Modulleistung definiert im Tab Datengrundlage</v>
      </c>
      <c r="H26" s="35"/>
      <c r="I26" s="35"/>
      <c r="J26" s="35"/>
      <c r="K26" s="30"/>
    </row>
    <row r="27" spans="2:19" s="28" customFormat="1" ht="19.899999999999999" customHeight="1">
      <c r="B27" s="33" t="s">
        <v>196</v>
      </c>
      <c r="C27" s="35"/>
      <c r="D27" s="34" t="s">
        <v>97</v>
      </c>
      <c r="E27" s="273"/>
      <c r="F27" s="29" t="s">
        <v>99</v>
      </c>
      <c r="G27" s="35" t="s">
        <v>202</v>
      </c>
      <c r="H27" s="35"/>
      <c r="I27" s="35"/>
      <c r="J27" s="35"/>
      <c r="K27" s="30"/>
    </row>
    <row r="28" spans="2:19" s="28" customFormat="1" ht="19.899999999999999" customHeight="1" thickBot="1">
      <c r="B28" s="36" t="s">
        <v>195</v>
      </c>
      <c r="C28" s="37"/>
      <c r="D28" s="71" t="s">
        <v>154</v>
      </c>
      <c r="E28" s="313">
        <f>E27</f>
        <v>0</v>
      </c>
      <c r="F28" s="31" t="s">
        <v>99</v>
      </c>
      <c r="G28" s="37" t="s">
        <v>203</v>
      </c>
      <c r="H28" s="37"/>
      <c r="I28" s="37"/>
      <c r="J28" s="37"/>
      <c r="K28" s="32"/>
    </row>
    <row r="29" spans="2:19" ht="15.75" thickBot="1"/>
    <row r="30" spans="2:19" s="21" customFormat="1" ht="21.75" thickBot="1">
      <c r="B30" s="18" t="s">
        <v>281</v>
      </c>
      <c r="C30" s="19"/>
      <c r="D30" s="48"/>
      <c r="E30" s="19"/>
      <c r="F30" s="19"/>
      <c r="G30" s="19"/>
      <c r="H30" s="19"/>
      <c r="I30" s="19"/>
      <c r="J30" s="19"/>
      <c r="K30" s="20"/>
      <c r="O30"/>
      <c r="P30"/>
      <c r="Q30"/>
      <c r="R30"/>
      <c r="S30"/>
    </row>
    <row r="31" spans="2:19" s="28" customFormat="1" ht="19.899999999999999" customHeight="1">
      <c r="B31" s="40" t="s">
        <v>120</v>
      </c>
      <c r="C31" s="41"/>
      <c r="D31" s="42"/>
      <c r="E31" s="76">
        <f>_Spez_Ertrag_Standort</f>
        <v>900</v>
      </c>
      <c r="F31" s="75" t="s">
        <v>123</v>
      </c>
      <c r="G31" s="41" t="str">
        <f>"Spez. Ertrag am Standort"</f>
        <v>Spez. Ertrag am Standort</v>
      </c>
      <c r="H31" s="41"/>
      <c r="I31" s="41"/>
      <c r="J31" s="41"/>
      <c r="K31" s="39"/>
    </row>
    <row r="32" spans="2:19" s="28" customFormat="1" ht="19.899999999999999" customHeight="1">
      <c r="B32" s="33" t="s">
        <v>119</v>
      </c>
      <c r="C32" s="35"/>
      <c r="D32" s="34"/>
      <c r="E32" s="77" cm="1">
        <f t="array" ref="E32">INDEX(_Faktor_Ausrichtung,ROUND(((E19/_RasterNeigung))+1,0),ROUND((((E18)/_RasterAzimut))+180/_RasterAzimut+1,0),1)</f>
        <v>1</v>
      </c>
      <c r="F32" s="29"/>
      <c r="G32" s="35" t="s">
        <v>115</v>
      </c>
      <c r="H32" s="35"/>
      <c r="I32" s="35"/>
      <c r="J32" s="35"/>
      <c r="K32" s="30"/>
    </row>
    <row r="33" spans="2:19" s="44" customFormat="1" ht="19.899999999999999" hidden="1" customHeight="1">
      <c r="B33" s="43" t="s">
        <v>121</v>
      </c>
      <c r="C33" s="34"/>
      <c r="D33" s="34"/>
      <c r="E33" s="47">
        <f>E31*E32</f>
        <v>900</v>
      </c>
      <c r="F33" s="45" t="s">
        <v>123</v>
      </c>
      <c r="G33" s="34" t="s">
        <v>116</v>
      </c>
      <c r="H33" s="34"/>
      <c r="I33" s="34"/>
      <c r="J33" s="34"/>
      <c r="K33" s="46"/>
    </row>
    <row r="34" spans="2:19" s="28" customFormat="1" ht="19.899999999999999" customHeight="1">
      <c r="B34" s="33" t="s">
        <v>148</v>
      </c>
      <c r="C34" s="35"/>
      <c r="D34" s="34" t="s">
        <v>151</v>
      </c>
      <c r="E34" s="314"/>
      <c r="F34" s="29" t="s">
        <v>123</v>
      </c>
      <c r="G34" s="35" t="s">
        <v>117</v>
      </c>
      <c r="H34" s="35"/>
      <c r="I34" s="35"/>
      <c r="J34" s="35"/>
      <c r="K34" s="30"/>
    </row>
    <row r="35" spans="2:19" s="28" customFormat="1" ht="19.899999999999999" customHeight="1" thickBot="1">
      <c r="B35" s="36" t="s">
        <v>122</v>
      </c>
      <c r="C35" s="37"/>
      <c r="D35" s="71" t="s">
        <v>77</v>
      </c>
      <c r="E35" s="78">
        <f>IF(ISNUMBER(E34),E34,E33)</f>
        <v>900</v>
      </c>
      <c r="F35" s="31" t="s">
        <v>123</v>
      </c>
      <c r="G35" s="37" t="s">
        <v>118</v>
      </c>
      <c r="H35" s="37"/>
      <c r="I35" s="37"/>
      <c r="J35" s="37"/>
      <c r="K35" s="32"/>
    </row>
    <row r="36" spans="2:19" ht="15.75" thickBot="1"/>
    <row r="37" spans="2:19" s="21" customFormat="1" ht="21.75" thickBot="1">
      <c r="B37" s="18" t="s">
        <v>350</v>
      </c>
      <c r="C37" s="19"/>
      <c r="D37" s="48"/>
      <c r="E37" s="19"/>
      <c r="F37" s="19"/>
      <c r="G37" s="19"/>
      <c r="H37" s="19"/>
      <c r="I37" s="19"/>
      <c r="J37" s="19"/>
      <c r="K37" s="20"/>
      <c r="O37"/>
      <c r="P37"/>
      <c r="Q37"/>
      <c r="R37"/>
      <c r="S37"/>
    </row>
    <row r="38" spans="2:19" s="28" customFormat="1" ht="19.899999999999999" customHeight="1">
      <c r="B38" s="40" t="s">
        <v>351</v>
      </c>
      <c r="C38" s="41"/>
      <c r="D38" s="42" t="s">
        <v>365</v>
      </c>
      <c r="E38" s="76">
        <f>IF(AND(E19&gt;=_Neigungswinkel_für_NB_Bund,E19&lt;=90),E27*E26/1000*_Neigungswinkelbonus_Bund,0)</f>
        <v>0</v>
      </c>
      <c r="F38" s="483" t="s">
        <v>353</v>
      </c>
      <c r="G38" s="41"/>
      <c r="H38" s="76">
        <f>IF(AND(E19&gt;=_Neigungswinkel_für_NB_Bund,E19&lt;=90),E28*E26/1000*_Neigungswinkelbonus_Bund,0)</f>
        <v>0</v>
      </c>
      <c r="I38" s="41" t="s">
        <v>354</v>
      </c>
      <c r="J38" s="41"/>
      <c r="K38" s="39"/>
    </row>
    <row r="39" spans="2:19" s="28" customFormat="1" ht="19.899999999999999" customHeight="1">
      <c r="B39" s="33" t="s">
        <v>359</v>
      </c>
      <c r="C39" s="35"/>
      <c r="D39" s="34" t="s">
        <v>364</v>
      </c>
      <c r="E39" s="482">
        <f>IFERROR(IF(AND(E16=M16,E27*E26/1000&gt;=_Schwelle_PPBonus),E27*E26/1000*_Parkplatzbonus_pronovo,0),0)</f>
        <v>0</v>
      </c>
      <c r="F39" s="29" t="s">
        <v>353</v>
      </c>
      <c r="G39" s="35"/>
      <c r="H39" s="482">
        <f>IFERROR(IF(AND(E16=M16,E28*E26/1000&gt;=_Schwelle_PPBonus),E28*E26/1000*_Parkplatzbonus_pronovo,0),0)</f>
        <v>0</v>
      </c>
      <c r="I39" s="35" t="s">
        <v>354</v>
      </c>
      <c r="J39" s="35"/>
      <c r="K39" s="30"/>
    </row>
    <row r="40" spans="2:19" s="28" customFormat="1" ht="19.899999999999999" customHeight="1">
      <c r="B40" s="33" t="s">
        <v>352</v>
      </c>
      <c r="C40" s="35"/>
      <c r="D40" s="34" t="s">
        <v>362</v>
      </c>
      <c r="E40" s="482">
        <f>IFERROR(IF(AND(E19&gt;=_Neigungswinkel_für_NB_Bund,E19&lt;=90),E27*_Modullänge_Standard*_Modulbreite_Standard*_ZuschlagSteil_Stadt,0),0)</f>
        <v>0</v>
      </c>
      <c r="F40" s="29" t="s">
        <v>353</v>
      </c>
      <c r="G40" s="35"/>
      <c r="H40" s="482">
        <f>IFERROR(IF(AND(E19&gt;=_Neigungswinkel_für_NB_Bund,E19&lt;=90),E28*_Modullänge_Standard*_Modulbreite_Standard*_ZuschlagSteil_Stadt,0),0)</f>
        <v>0</v>
      </c>
      <c r="I40" s="35" t="s">
        <v>354</v>
      </c>
      <c r="J40" s="35"/>
      <c r="K40" s="30"/>
    </row>
    <row r="41" spans="2:19" s="28" customFormat="1" ht="19.899999999999999" customHeight="1" thickBot="1">
      <c r="B41" s="36" t="s">
        <v>337</v>
      </c>
      <c r="C41" s="37"/>
      <c r="D41" s="71" t="s">
        <v>363</v>
      </c>
      <c r="E41" s="78">
        <f>IF(AND((ABS($E18)+_AbweichungNord)&gt;=180,E19&lt;_Neigungswinkel_für_NB_Bund),E27*E26/1000*_ZuschlagNord_Stadt,0)</f>
        <v>0</v>
      </c>
      <c r="F41" s="31" t="s">
        <v>353</v>
      </c>
      <c r="G41" s="37"/>
      <c r="H41" s="78">
        <f>IF(AND((ABS($E18)+_AbweichungNord)&gt;=180,E19&lt;_Neigungswinkel_für_NB_Bund),E28*E26/1000*_ZuschlagNord_Stadt,0)</f>
        <v>0</v>
      </c>
      <c r="I41" s="37" t="s">
        <v>354</v>
      </c>
      <c r="J41" s="37"/>
      <c r="K41" s="32"/>
    </row>
    <row r="42" spans="2:19" ht="15.75" thickBot="1"/>
    <row r="43" spans="2:19" s="21" customFormat="1" ht="21.75" thickBot="1">
      <c r="B43" s="18" t="s">
        <v>189</v>
      </c>
      <c r="C43" s="19"/>
      <c r="D43" s="48"/>
      <c r="E43" s="19"/>
      <c r="F43" s="19"/>
      <c r="G43" s="19"/>
      <c r="H43" s="19"/>
      <c r="I43" s="19"/>
      <c r="J43" s="19"/>
      <c r="K43" s="20"/>
      <c r="O43"/>
      <c r="P43"/>
      <c r="Q43"/>
      <c r="R43"/>
      <c r="S43"/>
    </row>
    <row r="44" spans="2:19" s="23" customFormat="1" ht="15" hidden="1">
      <c r="B44" s="79"/>
      <c r="D44" s="23" t="s">
        <v>84</v>
      </c>
      <c r="F44" s="23">
        <v>-90</v>
      </c>
      <c r="G44" s="23">
        <v>-180</v>
      </c>
      <c r="H44" s="23">
        <v>90</v>
      </c>
      <c r="K44" s="80"/>
    </row>
    <row r="45" spans="2:19" s="23" customFormat="1" ht="15" hidden="1">
      <c r="B45" s="79"/>
      <c r="D45" s="23" t="s">
        <v>69</v>
      </c>
      <c r="F45" s="81">
        <f>RADIANS(F44)</f>
        <v>-1.5707963267948966</v>
      </c>
      <c r="G45" s="81">
        <f t="shared" ref="G45:H45" si="0">RADIANS(G44)</f>
        <v>-3.1415926535897931</v>
      </c>
      <c r="H45" s="81">
        <f t="shared" si="0"/>
        <v>1.5707963267948966</v>
      </c>
      <c r="K45" s="80"/>
    </row>
    <row r="46" spans="2:19" s="23" customFormat="1" ht="15" hidden="1">
      <c r="B46" s="79"/>
      <c r="D46" s="23" t="s">
        <v>70</v>
      </c>
      <c r="F46" s="23">
        <v>1</v>
      </c>
      <c r="G46" s="23">
        <v>3</v>
      </c>
      <c r="H46" s="23">
        <v>1</v>
      </c>
      <c r="K46" s="80"/>
    </row>
    <row r="47" spans="2:19" s="23" customFormat="1" ht="15" hidden="1">
      <c r="B47" s="79"/>
      <c r="D47" s="23" t="s">
        <v>85</v>
      </c>
      <c r="F47" s="82">
        <f>$F$46*SIN(ATAN(1/$F$46))/SIN(ASIN(SIN($E$21)*COS($F$45-PI()+$E$20))+ATAN(1/$F$46))</f>
        <v>1</v>
      </c>
      <c r="G47" s="82">
        <f>$G$46*SIN(ATAN(1/$G$46))/SIN(ASIN(SIN(-$E$21)*COS($G$45-PI()+$E$20))+ATAN(1/$G$46))</f>
        <v>3</v>
      </c>
      <c r="H47" s="82">
        <f>$H$46*SIN(ATAN(1/$H$46))/SIN(ASIN(SIN($E$21)*COS($H$45-PI()+$E$20))+ATAN(1/$H$46))</f>
        <v>1</v>
      </c>
      <c r="K47" s="80"/>
    </row>
    <row r="48" spans="2:19" s="23" customFormat="1" ht="15" hidden="1">
      <c r="B48" s="79"/>
      <c r="D48" s="23" t="s">
        <v>72</v>
      </c>
      <c r="F48" s="81">
        <f>ASIN(SIN($E$21)*COS(F45-$E$20))</f>
        <v>0</v>
      </c>
      <c r="G48" s="81">
        <f>ASIN(SIN($E$21)*COS(G45-$E$20))</f>
        <v>0</v>
      </c>
      <c r="H48" s="81">
        <f>ASIN(SIN($E$21)*COS(H45-$E$20))</f>
        <v>0</v>
      </c>
      <c r="K48" s="80"/>
    </row>
    <row r="49" spans="2:11" s="23" customFormat="1" ht="15" hidden="1">
      <c r="B49" s="79"/>
      <c r="D49" s="23" t="s">
        <v>73</v>
      </c>
      <c r="F49" s="83">
        <f>F48*180/PI()</f>
        <v>0</v>
      </c>
      <c r="G49" s="83">
        <f t="shared" ref="G49:H49" si="1">G48*180/PI()</f>
        <v>0</v>
      </c>
      <c r="H49" s="83">
        <f t="shared" si="1"/>
        <v>0</v>
      </c>
      <c r="K49" s="80"/>
    </row>
    <row r="50" spans="2:11" s="262" customFormat="1" ht="59.45" customHeight="1">
      <c r="B50" s="684" t="str">
        <f>"Zum Dachrand, sowie um Dachaufbauten wie Fenster, Lukarnen, Kamine, Lüftungsrohre etc. dürfen Abstände von "&amp;_Modul_Randabstand&amp;" m berücksichtigt werden. Die Verschattungsabstände durch hohe Objekte können zudem gemäss Kallkulation nach untenstehender Tabelle berücksichtigt werden. (Abstände auf der Dachfläche in die entsprechende Himmelsrichtung)"</f>
        <v>Zum Dachrand, sowie um Dachaufbauten wie Fenster, Lukarnen, Kamine, Lüftungsrohre etc. dürfen Abstände von 0.2 m berücksichtigt werden. Die Verschattungsabstände durch hohe Objekte können zudem gemäss Kallkulation nach untenstehender Tabelle berücksichtigt werden. (Abstände auf der Dachfläche in die entsprechende Himmelsrichtung)</v>
      </c>
      <c r="C50" s="685"/>
      <c r="D50" s="685"/>
      <c r="E50" s="685"/>
      <c r="F50" s="685"/>
      <c r="G50" s="685"/>
      <c r="H50" s="685"/>
      <c r="I50" s="685"/>
      <c r="J50" s="685"/>
      <c r="K50" s="686"/>
    </row>
    <row r="51" spans="2:11" s="28" customFormat="1" ht="19.899999999999999" customHeight="1">
      <c r="B51" s="49"/>
      <c r="C51" s="50"/>
      <c r="D51" s="51"/>
      <c r="E51" s="84"/>
      <c r="F51" s="683" t="s">
        <v>87</v>
      </c>
      <c r="G51" s="683"/>
      <c r="H51" s="683"/>
      <c r="K51" s="86"/>
    </row>
    <row r="52" spans="2:11" s="28" customFormat="1" ht="19.899999999999999" customHeight="1">
      <c r="B52" s="49" t="s">
        <v>91</v>
      </c>
      <c r="C52" s="50" t="s">
        <v>20</v>
      </c>
      <c r="D52" s="51"/>
      <c r="E52" s="87" t="s">
        <v>114</v>
      </c>
      <c r="F52" s="85" t="s">
        <v>88</v>
      </c>
      <c r="G52" s="85" t="s">
        <v>89</v>
      </c>
      <c r="H52" s="85" t="s">
        <v>90</v>
      </c>
      <c r="K52" s="86"/>
    </row>
    <row r="53" spans="2:11" s="28" customFormat="1" ht="19.899999999999999" customHeight="1">
      <c r="B53" s="88" t="s">
        <v>92</v>
      </c>
      <c r="C53" s="89"/>
      <c r="D53" s="90"/>
      <c r="E53" s="91" t="s">
        <v>86</v>
      </c>
      <c r="F53" s="91" t="s">
        <v>86</v>
      </c>
      <c r="G53" s="91" t="s">
        <v>86</v>
      </c>
      <c r="H53" s="91" t="s">
        <v>86</v>
      </c>
      <c r="I53" s="92"/>
      <c r="J53" s="92"/>
      <c r="K53" s="93"/>
    </row>
    <row r="54" spans="2:11" s="28" customFormat="1" ht="19.899999999999999" customHeight="1">
      <c r="B54" s="94">
        <v>1</v>
      </c>
      <c r="C54" s="315"/>
      <c r="D54" s="315"/>
      <c r="E54" s="316"/>
      <c r="F54" s="95" t="str">
        <f t="shared" ref="F54:F65" si="2">IF(ISNUMBER($E54),$E54*IF($F$47&gt;0,MIN($F$46:$F$47),MAX($F$46:$F$47)),"")</f>
        <v/>
      </c>
      <c r="G54" s="95" t="str">
        <f t="shared" ref="G54:G65" si="3">IF(ISNUMBER($E54),$E54*IF($G$47&gt;0,MIN($G$46:$G$47),MAX($G$46:$G$47)),"")</f>
        <v/>
      </c>
      <c r="H54" s="95" t="str">
        <f t="shared" ref="H54:H65" si="4">IF(ISNUMBER($E54),$E54*IF($H$47&gt;0,MIN($H$46:$H$47),MAX($H$46:$H$47)),"")</f>
        <v/>
      </c>
      <c r="I54" s="73"/>
      <c r="J54" s="73"/>
      <c r="K54" s="74"/>
    </row>
    <row r="55" spans="2:11" s="28" customFormat="1" ht="19.899999999999999" customHeight="1">
      <c r="B55" s="96">
        <v>2</v>
      </c>
      <c r="C55" s="317"/>
      <c r="D55" s="317"/>
      <c r="E55" s="318"/>
      <c r="F55" s="97" t="str">
        <f t="shared" si="2"/>
        <v/>
      </c>
      <c r="G55" s="97" t="str">
        <f t="shared" si="3"/>
        <v/>
      </c>
      <c r="H55" s="97" t="str">
        <f t="shared" si="4"/>
        <v/>
      </c>
      <c r="I55" s="35"/>
      <c r="J55" s="35"/>
      <c r="K55" s="30"/>
    </row>
    <row r="56" spans="2:11" s="28" customFormat="1" ht="19.899999999999999" customHeight="1">
      <c r="B56" s="96">
        <v>3</v>
      </c>
      <c r="C56" s="317"/>
      <c r="D56" s="317"/>
      <c r="E56" s="318"/>
      <c r="F56" s="97" t="str">
        <f t="shared" si="2"/>
        <v/>
      </c>
      <c r="G56" s="97" t="str">
        <f t="shared" si="3"/>
        <v/>
      </c>
      <c r="H56" s="97" t="str">
        <f t="shared" si="4"/>
        <v/>
      </c>
      <c r="I56" s="35"/>
      <c r="J56" s="35"/>
      <c r="K56" s="30"/>
    </row>
    <row r="57" spans="2:11" s="28" customFormat="1" ht="19.899999999999999" customHeight="1">
      <c r="B57" s="96">
        <v>4</v>
      </c>
      <c r="C57" s="317"/>
      <c r="D57" s="317"/>
      <c r="E57" s="318"/>
      <c r="F57" s="97" t="str">
        <f t="shared" si="2"/>
        <v/>
      </c>
      <c r="G57" s="97" t="str">
        <f t="shared" si="3"/>
        <v/>
      </c>
      <c r="H57" s="97" t="str">
        <f t="shared" si="4"/>
        <v/>
      </c>
      <c r="I57" s="35"/>
      <c r="J57" s="35"/>
      <c r="K57" s="30"/>
    </row>
    <row r="58" spans="2:11" s="28" customFormat="1" ht="19.899999999999999" customHeight="1">
      <c r="B58" s="96">
        <v>5</v>
      </c>
      <c r="C58" s="317"/>
      <c r="D58" s="317"/>
      <c r="E58" s="318"/>
      <c r="F58" s="97" t="str">
        <f t="shared" si="2"/>
        <v/>
      </c>
      <c r="G58" s="97" t="str">
        <f t="shared" si="3"/>
        <v/>
      </c>
      <c r="H58" s="97" t="str">
        <f t="shared" si="4"/>
        <v/>
      </c>
      <c r="I58" s="35"/>
      <c r="J58" s="35"/>
      <c r="K58" s="30"/>
    </row>
    <row r="59" spans="2:11" s="28" customFormat="1" ht="19.899999999999999" customHeight="1">
      <c r="B59" s="96">
        <v>6</v>
      </c>
      <c r="C59" s="317"/>
      <c r="D59" s="317"/>
      <c r="E59" s="318"/>
      <c r="F59" s="97" t="str">
        <f t="shared" si="2"/>
        <v/>
      </c>
      <c r="G59" s="97" t="str">
        <f t="shared" si="3"/>
        <v/>
      </c>
      <c r="H59" s="97" t="str">
        <f t="shared" si="4"/>
        <v/>
      </c>
      <c r="I59" s="35"/>
      <c r="J59" s="35"/>
      <c r="K59" s="30"/>
    </row>
    <row r="60" spans="2:11" s="28" customFormat="1" ht="19.899999999999999" customHeight="1">
      <c r="B60" s="96">
        <v>7</v>
      </c>
      <c r="C60" s="317"/>
      <c r="D60" s="317"/>
      <c r="E60" s="318"/>
      <c r="F60" s="97" t="str">
        <f t="shared" si="2"/>
        <v/>
      </c>
      <c r="G60" s="97" t="str">
        <f t="shared" si="3"/>
        <v/>
      </c>
      <c r="H60" s="97" t="str">
        <f t="shared" si="4"/>
        <v/>
      </c>
      <c r="I60" s="35"/>
      <c r="J60" s="35"/>
      <c r="K60" s="30"/>
    </row>
    <row r="61" spans="2:11" s="28" customFormat="1" ht="19.899999999999999" customHeight="1">
      <c r="B61" s="96">
        <v>8</v>
      </c>
      <c r="C61" s="317"/>
      <c r="D61" s="317"/>
      <c r="E61" s="318"/>
      <c r="F61" s="97" t="str">
        <f t="shared" si="2"/>
        <v/>
      </c>
      <c r="G61" s="97" t="str">
        <f t="shared" si="3"/>
        <v/>
      </c>
      <c r="H61" s="97" t="str">
        <f t="shared" si="4"/>
        <v/>
      </c>
      <c r="I61" s="35"/>
      <c r="J61" s="35"/>
      <c r="K61" s="30"/>
    </row>
    <row r="62" spans="2:11" s="28" customFormat="1" ht="19.899999999999999" customHeight="1">
      <c r="B62" s="96">
        <v>9</v>
      </c>
      <c r="C62" s="317"/>
      <c r="D62" s="317"/>
      <c r="E62" s="318"/>
      <c r="F62" s="97" t="str">
        <f t="shared" si="2"/>
        <v/>
      </c>
      <c r="G62" s="97" t="str">
        <f t="shared" si="3"/>
        <v/>
      </c>
      <c r="H62" s="97" t="str">
        <f t="shared" si="4"/>
        <v/>
      </c>
      <c r="I62" s="35"/>
      <c r="J62" s="35"/>
      <c r="K62" s="30"/>
    </row>
    <row r="63" spans="2:11" s="28" customFormat="1" ht="19.899999999999999" customHeight="1">
      <c r="B63" s="96">
        <v>10</v>
      </c>
      <c r="C63" s="317"/>
      <c r="D63" s="317"/>
      <c r="E63" s="318"/>
      <c r="F63" s="29" t="str">
        <f t="shared" si="2"/>
        <v/>
      </c>
      <c r="G63" s="29" t="str">
        <f t="shared" si="3"/>
        <v/>
      </c>
      <c r="H63" s="29" t="str">
        <f t="shared" si="4"/>
        <v/>
      </c>
      <c r="I63" s="35"/>
      <c r="J63" s="35"/>
      <c r="K63" s="30"/>
    </row>
    <row r="64" spans="2:11" s="28" customFormat="1" ht="19.899999999999999" customHeight="1">
      <c r="B64" s="96">
        <v>11</v>
      </c>
      <c r="C64" s="317"/>
      <c r="D64" s="317"/>
      <c r="E64" s="318"/>
      <c r="F64" s="29" t="str">
        <f t="shared" si="2"/>
        <v/>
      </c>
      <c r="G64" s="29" t="str">
        <f t="shared" si="3"/>
        <v/>
      </c>
      <c r="H64" s="29" t="str">
        <f t="shared" si="4"/>
        <v/>
      </c>
      <c r="I64" s="35"/>
      <c r="J64" s="35"/>
      <c r="K64" s="30"/>
    </row>
    <row r="65" spans="2:11" s="28" customFormat="1" ht="19.899999999999999" customHeight="1" thickBot="1">
      <c r="B65" s="98">
        <v>12</v>
      </c>
      <c r="C65" s="319"/>
      <c r="D65" s="319"/>
      <c r="E65" s="320"/>
      <c r="F65" s="31" t="str">
        <f t="shared" si="2"/>
        <v/>
      </c>
      <c r="G65" s="31" t="str">
        <f t="shared" si="3"/>
        <v/>
      </c>
      <c r="H65" s="31" t="str">
        <f t="shared" si="4"/>
        <v/>
      </c>
      <c r="I65" s="37"/>
      <c r="J65" s="37"/>
      <c r="K65" s="32"/>
    </row>
    <row r="66" spans="2:11" ht="15"/>
    <row r="67" spans="2:11" ht="15" hidden="1"/>
    <row r="68" spans="2:11" ht="14.45" customHeight="1"/>
  </sheetData>
  <sheetProtection algorithmName="SHA-512" hashValue="VQ9a2f0NuD1xTIZrGFJmFtvDRYSONbCRtTd0uCXsdC3tdsQJxrEjYGHbDnNJJJaM9zTrCC+GDkZQvYelxrmnNw==" saltValue="o3N5N9c58rdZCb8qB/NgTg==" spinCount="100000" sheet="1" objects="1" scenarios="1" selectLockedCells="1" autoFilter="0"/>
  <mergeCells count="17">
    <mergeCell ref="E2:J4"/>
    <mergeCell ref="E11:F11"/>
    <mergeCell ref="B9:C9"/>
    <mergeCell ref="E9:F9"/>
    <mergeCell ref="H9:J9"/>
    <mergeCell ref="B10:C10"/>
    <mergeCell ref="E10:F10"/>
    <mergeCell ref="H10:J10"/>
    <mergeCell ref="H11:J11"/>
    <mergeCell ref="B11:C11"/>
    <mergeCell ref="B50:K50"/>
    <mergeCell ref="F51:H51"/>
    <mergeCell ref="B12:C12"/>
    <mergeCell ref="E12:F12"/>
    <mergeCell ref="E15:F15"/>
    <mergeCell ref="E24:F24"/>
    <mergeCell ref="B16:C16"/>
  </mergeCells>
  <dataValidations count="2">
    <dataValidation type="list" allowBlank="1" showInputMessage="1" showErrorMessage="1" sqref="E24" xr:uid="{00000000-0002-0000-0E00-000000000000}">
      <formula1>$G$24:$H$24</formula1>
    </dataValidation>
    <dataValidation type="list" allowBlank="1" showInputMessage="1" showErrorMessage="1" sqref="E16" xr:uid="{9AEC4DE9-B0FC-44F6-8F2F-8CD975BEF144}">
      <formula1>$M$16:$M$17</formula1>
    </dataValidation>
  </dataValidations>
  <pageMargins left="0.7" right="0.7" top="0.78740157499999996" bottom="0.78740157499999996" header="0.3" footer="0.3"/>
  <pageSetup paperSize="9" scale="64" orientation="portrait" r:id="rId1"/>
  <colBreaks count="1" manualBreakCount="1">
    <brk id="12" max="1048575" man="1"/>
  </col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AA86"/>
  <sheetViews>
    <sheetView topLeftCell="A19" zoomScale="115" zoomScaleNormal="115" workbookViewId="0">
      <selection activeCell="D3" sqref="D3"/>
    </sheetView>
  </sheetViews>
  <sheetFormatPr baseColWidth="10" defaultRowHeight="15"/>
  <cols>
    <col min="1" max="1" width="6.28515625" customWidth="1"/>
    <col min="2" max="2" width="32.7109375" customWidth="1"/>
    <col min="3" max="3" width="11" customWidth="1"/>
    <col min="4" max="4" width="15.5703125" customWidth="1"/>
    <col min="6" max="6" width="47.85546875" bestFit="1" customWidth="1"/>
    <col min="7" max="9" width="10.28515625" customWidth="1"/>
    <col min="10" max="10" width="2.28515625" customWidth="1"/>
    <col min="11" max="11" width="6.28515625" style="342" customWidth="1"/>
    <col min="12" max="12" width="7.140625" style="342" customWidth="1"/>
    <col min="13" max="15" width="7.140625" customWidth="1"/>
    <col min="16" max="19" width="6.28515625" customWidth="1"/>
    <col min="20" max="20" width="15.85546875" customWidth="1"/>
    <col min="21" max="21" width="15.5703125" customWidth="1"/>
    <col min="22" max="22" width="15" customWidth="1"/>
  </cols>
  <sheetData>
    <row r="1" spans="1:22" ht="26.25">
      <c r="A1" s="9" t="s">
        <v>157</v>
      </c>
      <c r="T1" s="342"/>
      <c r="U1" s="342"/>
    </row>
    <row r="2" spans="1:22">
      <c r="T2" s="342"/>
      <c r="U2" s="342"/>
    </row>
    <row r="3" spans="1:22">
      <c r="A3" t="s">
        <v>188</v>
      </c>
      <c r="D3" s="490" t="s">
        <v>394</v>
      </c>
      <c r="T3" s="342"/>
      <c r="U3" s="342"/>
    </row>
    <row r="4" spans="1:22">
      <c r="T4" s="342"/>
      <c r="U4" s="342"/>
    </row>
    <row r="5" spans="1:22" s="1" customFormat="1" ht="63" customHeight="1">
      <c r="A5" s="1" t="s">
        <v>168</v>
      </c>
      <c r="D5" s="694" t="str">
        <f>"Planungshilfe
Solar- und Photovoltaikanlagen auf Schrägdächern (Art. 77 Abs. 3 und 4 BZR)
Formular-Release "&amp;_Formularversion</f>
        <v>Planungshilfe
Solar- und Photovoltaikanlagen auf Schrägdächern (Art. 77 Abs. 3 und 4 BZR)
Formular-Release 2.5</v>
      </c>
      <c r="E5" s="695"/>
      <c r="F5" s="695"/>
      <c r="K5" s="407"/>
      <c r="L5" s="407"/>
      <c r="T5" s="407"/>
      <c r="U5" s="407"/>
    </row>
    <row r="6" spans="1:22">
      <c r="T6" s="342"/>
      <c r="U6" s="342"/>
    </row>
    <row r="7" spans="1:22">
      <c r="A7" t="s">
        <v>225</v>
      </c>
      <c r="D7" s="443">
        <v>46042</v>
      </c>
      <c r="E7" t="s">
        <v>369</v>
      </c>
      <c r="T7" s="342"/>
      <c r="U7" s="342"/>
    </row>
    <row r="8" spans="1:22">
      <c r="A8" t="s">
        <v>226</v>
      </c>
      <c r="D8" s="443">
        <v>46357</v>
      </c>
      <c r="E8" t="s">
        <v>284</v>
      </c>
      <c r="T8" s="342"/>
      <c r="U8" s="342"/>
    </row>
    <row r="9" spans="1:22">
      <c r="T9" s="342"/>
      <c r="U9" s="342"/>
    </row>
    <row r="10" spans="1:22">
      <c r="A10" t="s">
        <v>190</v>
      </c>
      <c r="T10" s="342"/>
      <c r="U10" s="342"/>
    </row>
    <row r="11" spans="1:22">
      <c r="B11" s="241" t="s">
        <v>191</v>
      </c>
      <c r="C11" s="241"/>
      <c r="D11" s="241"/>
      <c r="E11" s="241"/>
      <c r="F11" s="241"/>
      <c r="T11" s="342"/>
      <c r="U11" s="342"/>
    </row>
    <row r="12" spans="1:22">
      <c r="B12" t="s">
        <v>192</v>
      </c>
      <c r="T12" s="342"/>
      <c r="U12" s="342"/>
    </row>
    <row r="13" spans="1:22">
      <c r="B13" s="246" t="s">
        <v>193</v>
      </c>
      <c r="C13" s="246"/>
      <c r="D13" s="246"/>
      <c r="E13" s="246"/>
      <c r="F13" s="246"/>
      <c r="T13" s="342"/>
      <c r="U13" s="342"/>
    </row>
    <row r="14" spans="1:22">
      <c r="T14" s="342"/>
      <c r="U14" s="342"/>
    </row>
    <row r="15" spans="1:22" ht="31.5">
      <c r="A15" s="340"/>
      <c r="B15" s="340" t="s">
        <v>258</v>
      </c>
      <c r="C15" s="340" t="s">
        <v>187</v>
      </c>
      <c r="D15" s="340" t="s">
        <v>158</v>
      </c>
      <c r="E15" s="340" t="s">
        <v>135</v>
      </c>
      <c r="F15" s="340" t="s">
        <v>159</v>
      </c>
      <c r="G15" s="340"/>
      <c r="H15" s="340"/>
      <c r="I15" s="340"/>
      <c r="J15" s="340"/>
      <c r="T15" s="343" t="s">
        <v>256</v>
      </c>
      <c r="U15" s="343" t="s">
        <v>261</v>
      </c>
      <c r="V15" s="341" t="s">
        <v>257</v>
      </c>
    </row>
    <row r="16" spans="1:22">
      <c r="A16" t="s">
        <v>137</v>
      </c>
      <c r="T16" s="342"/>
      <c r="U16" s="342"/>
    </row>
    <row r="17" spans="1:22">
      <c r="B17" t="s">
        <v>210</v>
      </c>
      <c r="D17" s="442">
        <v>1100</v>
      </c>
      <c r="E17" t="s">
        <v>134</v>
      </c>
      <c r="F17" s="442" t="s">
        <v>160</v>
      </c>
      <c r="T17" s="445">
        <v>45233</v>
      </c>
      <c r="U17" s="445" t="s">
        <v>262</v>
      </c>
      <c r="V17" s="442" t="s">
        <v>283</v>
      </c>
    </row>
    <row r="18" spans="1:22">
      <c r="B18" t="s">
        <v>167</v>
      </c>
      <c r="D18" s="442">
        <v>45</v>
      </c>
      <c r="E18" t="s">
        <v>54</v>
      </c>
      <c r="F18" s="444" t="s">
        <v>201</v>
      </c>
      <c r="T18" s="445">
        <v>45233</v>
      </c>
      <c r="U18" s="445" t="s">
        <v>262</v>
      </c>
      <c r="V18" s="442" t="s">
        <v>259</v>
      </c>
    </row>
    <row r="19" spans="1:22">
      <c r="T19" s="342"/>
      <c r="U19" s="342"/>
    </row>
    <row r="20" spans="1:22">
      <c r="A20" t="s">
        <v>227</v>
      </c>
      <c r="T20" s="342"/>
      <c r="U20" s="342"/>
    </row>
    <row r="21" spans="1:22">
      <c r="B21" t="s">
        <v>230</v>
      </c>
      <c r="D21" s="698" t="s">
        <v>371</v>
      </c>
      <c r="E21" s="698"/>
      <c r="F21" t="s">
        <v>236</v>
      </c>
      <c r="T21" s="518">
        <v>45931</v>
      </c>
      <c r="U21" s="445" t="s">
        <v>263</v>
      </c>
      <c r="V21" s="442" t="s">
        <v>282</v>
      </c>
    </row>
    <row r="22" spans="1:22">
      <c r="B22" t="s">
        <v>49</v>
      </c>
      <c r="D22" s="442">
        <v>485</v>
      </c>
      <c r="E22" t="s">
        <v>58</v>
      </c>
      <c r="T22" s="342"/>
      <c r="U22" s="342"/>
    </row>
    <row r="23" spans="1:22">
      <c r="B23" t="s">
        <v>387</v>
      </c>
      <c r="D23" s="442">
        <f>88.85</f>
        <v>88.85</v>
      </c>
      <c r="E23" t="s">
        <v>5</v>
      </c>
      <c r="F23" t="s">
        <v>374</v>
      </c>
      <c r="G23" s="442">
        <v>30</v>
      </c>
      <c r="H23" t="s">
        <v>45</v>
      </c>
      <c r="T23" s="342"/>
      <c r="U23" s="342"/>
    </row>
    <row r="24" spans="1:22">
      <c r="B24" t="s">
        <v>388</v>
      </c>
      <c r="D24" s="2">
        <f>100-((100-D23)/G23*25)</f>
        <v>90.708333333333329</v>
      </c>
      <c r="E24" t="s">
        <v>375</v>
      </c>
      <c r="T24" s="342"/>
      <c r="U24" s="342"/>
    </row>
    <row r="25" spans="1:22">
      <c r="B25" t="s">
        <v>55</v>
      </c>
      <c r="D25" s="454">
        <v>1.8</v>
      </c>
      <c r="E25" t="s">
        <v>59</v>
      </c>
      <c r="T25" s="342"/>
      <c r="U25" s="342"/>
    </row>
    <row r="26" spans="1:22">
      <c r="B26" t="s">
        <v>56</v>
      </c>
      <c r="D26" s="454">
        <v>1.1339999999999999</v>
      </c>
      <c r="E26" t="s">
        <v>59</v>
      </c>
      <c r="T26" s="342"/>
      <c r="U26" s="342"/>
    </row>
    <row r="27" spans="1:22">
      <c r="B27" t="s">
        <v>372</v>
      </c>
      <c r="D27" s="442">
        <v>81.099999999999994</v>
      </c>
      <c r="E27" t="s">
        <v>232</v>
      </c>
      <c r="T27" s="342"/>
      <c r="U27" s="342"/>
    </row>
    <row r="28" spans="1:22">
      <c r="B28" t="s">
        <v>231</v>
      </c>
      <c r="D28" s="2">
        <f>D27*1.2</f>
        <v>97.32</v>
      </c>
      <c r="E28" t="s">
        <v>232</v>
      </c>
      <c r="T28" s="342"/>
      <c r="U28" s="342"/>
    </row>
    <row r="29" spans="1:22">
      <c r="A29" t="s">
        <v>381</v>
      </c>
      <c r="T29" s="342"/>
      <c r="U29" s="342"/>
    </row>
    <row r="30" spans="1:22" ht="15" customHeight="1">
      <c r="B30" t="s">
        <v>382</v>
      </c>
      <c r="D30" s="698" t="s">
        <v>373</v>
      </c>
      <c r="E30" s="698"/>
      <c r="F30" t="s">
        <v>237</v>
      </c>
      <c r="T30" s="518">
        <v>45931</v>
      </c>
      <c r="U30" s="445" t="s">
        <v>263</v>
      </c>
      <c r="V30" s="442" t="s">
        <v>282</v>
      </c>
    </row>
    <row r="31" spans="1:22">
      <c r="B31" t="s">
        <v>383</v>
      </c>
      <c r="D31" s="442">
        <v>425</v>
      </c>
      <c r="E31" t="s">
        <v>58</v>
      </c>
      <c r="T31" s="342"/>
      <c r="U31" s="342"/>
    </row>
    <row r="32" spans="1:22">
      <c r="B32" t="s">
        <v>386</v>
      </c>
      <c r="D32" s="442">
        <v>90</v>
      </c>
      <c r="E32" t="s">
        <v>5</v>
      </c>
      <c r="F32" t="s">
        <v>374</v>
      </c>
      <c r="G32" s="442">
        <v>30</v>
      </c>
      <c r="H32" t="s">
        <v>45</v>
      </c>
      <c r="T32" s="342"/>
      <c r="U32" s="342"/>
    </row>
    <row r="33" spans="1:27">
      <c r="B33" t="s">
        <v>389</v>
      </c>
      <c r="D33" s="2">
        <f>100-((100-D32)/G32*25)</f>
        <v>91.666666666666671</v>
      </c>
      <c r="E33" t="s">
        <v>375</v>
      </c>
      <c r="T33" s="342"/>
      <c r="U33" s="342"/>
    </row>
    <row r="34" spans="1:27">
      <c r="B34" t="s">
        <v>384</v>
      </c>
      <c r="D34" s="454">
        <v>1.722</v>
      </c>
      <c r="E34" t="s">
        <v>59</v>
      </c>
      <c r="T34" s="342"/>
      <c r="U34" s="342"/>
    </row>
    <row r="35" spans="1:27">
      <c r="B35" t="s">
        <v>379</v>
      </c>
      <c r="D35" s="454">
        <v>1.1339999999999999</v>
      </c>
      <c r="E35" t="s">
        <v>59</v>
      </c>
      <c r="T35" s="342"/>
      <c r="U35" s="342"/>
    </row>
    <row r="36" spans="1:27">
      <c r="B36" t="s">
        <v>372</v>
      </c>
      <c r="D36" s="442">
        <v>210.85</v>
      </c>
      <c r="E36" t="s">
        <v>232</v>
      </c>
      <c r="T36" s="342"/>
      <c r="U36" s="342"/>
    </row>
    <row r="37" spans="1:27">
      <c r="B37" t="s">
        <v>380</v>
      </c>
      <c r="D37" s="2">
        <f>D36*1.2</f>
        <v>253.01999999999998</v>
      </c>
      <c r="E37" t="s">
        <v>232</v>
      </c>
      <c r="T37" s="342"/>
      <c r="U37" s="342"/>
    </row>
    <row r="38" spans="1:27">
      <c r="B38" t="s">
        <v>385</v>
      </c>
      <c r="D38" s="4">
        <f>D37-D28</f>
        <v>155.69999999999999</v>
      </c>
      <c r="E38" t="s">
        <v>147</v>
      </c>
      <c r="T38" s="342"/>
      <c r="U38" s="342"/>
    </row>
    <row r="39" spans="1:27">
      <c r="A39" t="s">
        <v>228</v>
      </c>
      <c r="T39" s="445">
        <v>45233</v>
      </c>
      <c r="U39" s="445" t="s">
        <v>262</v>
      </c>
      <c r="V39" s="442" t="s">
        <v>283</v>
      </c>
    </row>
    <row r="40" spans="1:27">
      <c r="B40" t="s">
        <v>57</v>
      </c>
      <c r="D40" s="442">
        <v>0.2</v>
      </c>
      <c r="E40" t="s">
        <v>59</v>
      </c>
      <c r="T40" s="342"/>
      <c r="U40" s="342"/>
    </row>
    <row r="41" spans="1:27">
      <c r="B41" t="s">
        <v>79</v>
      </c>
      <c r="D41" s="442">
        <v>0.02</v>
      </c>
      <c r="E41" t="s">
        <v>59</v>
      </c>
      <c r="T41" s="342"/>
      <c r="U41" s="342"/>
    </row>
    <row r="42" spans="1:27">
      <c r="B42" t="s">
        <v>80</v>
      </c>
      <c r="D42" s="442">
        <v>0.02</v>
      </c>
      <c r="E42" t="s">
        <v>59</v>
      </c>
      <c r="T42" s="342"/>
      <c r="U42" s="342"/>
    </row>
    <row r="43" spans="1:27">
      <c r="T43" s="342"/>
      <c r="U43" s="342"/>
    </row>
    <row r="44" spans="1:27">
      <c r="A44" s="261" t="s">
        <v>161</v>
      </c>
      <c r="G44" s="334" t="s">
        <v>170</v>
      </c>
      <c r="H44" s="696" t="s">
        <v>171</v>
      </c>
      <c r="I44" s="697"/>
      <c r="K44" s="693" t="s">
        <v>309</v>
      </c>
      <c r="L44" s="693"/>
      <c r="M44" s="693"/>
      <c r="N44" s="693"/>
      <c r="O44" s="693"/>
      <c r="P44" s="693"/>
      <c r="Q44" s="693"/>
      <c r="R44" s="693"/>
      <c r="T44" s="518">
        <v>45931</v>
      </c>
      <c r="U44" s="445" t="s">
        <v>263</v>
      </c>
      <c r="V44" s="442" t="s">
        <v>282</v>
      </c>
    </row>
    <row r="45" spans="1:27" ht="15.75" thickBot="1">
      <c r="B45" t="s">
        <v>27</v>
      </c>
      <c r="D45" t="str">
        <f>G45</f>
        <v>ckw</v>
      </c>
      <c r="G45" s="330" t="str">
        <f t="shared" ref="G45:G56" si="0">INDEX($H$45:$I$56,MATCH(B45,$B$45:$B$56,0),MATCH(_Netzversorger,$H$45:$I$45,0))</f>
        <v>ckw</v>
      </c>
      <c r="H45" s="353" t="s">
        <v>62</v>
      </c>
      <c r="I45" s="354" t="s">
        <v>61</v>
      </c>
      <c r="K45" s="693"/>
      <c r="L45" s="693"/>
      <c r="M45" s="693"/>
      <c r="N45" s="693"/>
      <c r="O45" s="693"/>
      <c r="P45" s="693"/>
      <c r="Q45" s="693"/>
      <c r="R45" s="693"/>
    </row>
    <row r="46" spans="1:27" ht="90">
      <c r="A46" s="7"/>
      <c r="B46" s="7" t="s">
        <v>162</v>
      </c>
      <c r="F46" s="7"/>
      <c r="G46" s="331" t="str">
        <f t="shared" si="0"/>
        <v>Referenz Marktpreis nach Art. 15, EnFV (Ø 4 Jahre)</v>
      </c>
      <c r="H46" s="351" t="s">
        <v>367</v>
      </c>
      <c r="I46" s="352" t="s">
        <v>368</v>
      </c>
      <c r="K46" s="355" t="s">
        <v>320</v>
      </c>
      <c r="L46" s="355" t="s">
        <v>377</v>
      </c>
      <c r="M46" s="356" t="s">
        <v>287</v>
      </c>
      <c r="N46" s="356"/>
      <c r="O46" s="356" t="s">
        <v>391</v>
      </c>
      <c r="P46" s="519" t="s">
        <v>285</v>
      </c>
      <c r="Q46" s="356" t="s">
        <v>286</v>
      </c>
      <c r="R46" s="356" t="s">
        <v>289</v>
      </c>
      <c r="S46" s="247" t="s">
        <v>291</v>
      </c>
    </row>
    <row r="47" spans="1:27">
      <c r="B47" t="s">
        <v>33</v>
      </c>
      <c r="D47" s="2">
        <f>G47</f>
        <v>12.4495</v>
      </c>
      <c r="E47" t="s">
        <v>35</v>
      </c>
      <c r="F47" t="str">
        <f>G46</f>
        <v>Referenz Marktpreis nach Art. 15, EnFV (Ø 4 Jahre)</v>
      </c>
      <c r="G47" s="332">
        <f t="shared" si="0"/>
        <v>12.4495</v>
      </c>
      <c r="H47" s="347">
        <f>AVERAGE(K47:M47)</f>
        <v>13</v>
      </c>
      <c r="I47" s="348">
        <f>AVERAGE(O47:R47)</f>
        <v>12.4495</v>
      </c>
      <c r="K47" s="242">
        <v>13</v>
      </c>
      <c r="L47" s="242">
        <v>13</v>
      </c>
      <c r="M47" s="242">
        <v>13</v>
      </c>
      <c r="O47" s="408">
        <f>(10.38+2.759+5.731+9.377)/4</f>
        <v>7.06175</v>
      </c>
      <c r="P47" s="520">
        <v>28.971</v>
      </c>
      <c r="Q47" s="242">
        <v>8.3160000000000007</v>
      </c>
      <c r="R47" s="429">
        <f>(8.751+3.342+3.507+6.197)/4</f>
        <v>5.4492500000000001</v>
      </c>
      <c r="S47" s="324" t="s">
        <v>275</v>
      </c>
      <c r="AA47" s="247"/>
    </row>
    <row r="48" spans="1:27">
      <c r="B48" t="s">
        <v>314</v>
      </c>
      <c r="D48" s="2">
        <f>G48</f>
        <v>2</v>
      </c>
      <c r="E48" t="s">
        <v>35</v>
      </c>
      <c r="F48" t="str">
        <f>"Bei Anlageleistung &lt;= "&amp;G49&amp;"kVA"</f>
        <v>Bei Anlageleistung &lt;= 100kVA</v>
      </c>
      <c r="G48" s="332">
        <f t="shared" si="0"/>
        <v>2</v>
      </c>
      <c r="H48" s="347">
        <f t="shared" ref="H48:H50" si="1">AVERAGE(K48:M48)</f>
        <v>4</v>
      </c>
      <c r="I48" s="348">
        <f>AVERAGE(O48:R48)</f>
        <v>2</v>
      </c>
      <c r="K48" s="242">
        <v>4</v>
      </c>
      <c r="L48" s="242">
        <v>4</v>
      </c>
      <c r="M48" s="242">
        <v>4</v>
      </c>
      <c r="O48" s="242">
        <v>2</v>
      </c>
      <c r="P48" s="520">
        <v>2</v>
      </c>
      <c r="Q48" s="242">
        <v>2</v>
      </c>
      <c r="R48" s="242">
        <v>2</v>
      </c>
      <c r="S48" s="324" t="s">
        <v>292</v>
      </c>
    </row>
    <row r="49" spans="1:23">
      <c r="B49" t="s">
        <v>185</v>
      </c>
      <c r="D49">
        <f>G49</f>
        <v>100</v>
      </c>
      <c r="E49" t="s">
        <v>186</v>
      </c>
      <c r="F49" t="str">
        <f>B48&amp;" bis und mit "&amp;D49&amp;" kVA "&amp;B50&amp;" ab "&amp;D49&amp;" kVA"</f>
        <v>HKN bis und mit 100 kVA HKN  ab 100 kVA</v>
      </c>
      <c r="G49" s="331">
        <f t="shared" si="0"/>
        <v>100</v>
      </c>
      <c r="H49" s="438">
        <v>10000</v>
      </c>
      <c r="I49" s="439">
        <v>100</v>
      </c>
      <c r="K49" s="2"/>
      <c r="L49" s="2"/>
      <c r="M49" s="2"/>
      <c r="O49" s="437"/>
      <c r="P49" s="521"/>
      <c r="Q49" s="437"/>
      <c r="R49" s="437"/>
      <c r="S49" t="s">
        <v>294</v>
      </c>
    </row>
    <row r="50" spans="1:23" ht="15.75" thickBot="1">
      <c r="B50" t="s">
        <v>315</v>
      </c>
      <c r="D50" s="2">
        <f>G50</f>
        <v>1</v>
      </c>
      <c r="E50" t="s">
        <v>35</v>
      </c>
      <c r="F50" t="str">
        <f>"Bei Anlageleistung &gt; "&amp;G49&amp;"kVA"</f>
        <v>Bei Anlageleistung &gt; 100kVA</v>
      </c>
      <c r="G50" s="332">
        <f t="shared" si="0"/>
        <v>1</v>
      </c>
      <c r="H50" s="347">
        <f t="shared" si="1"/>
        <v>4</v>
      </c>
      <c r="I50" s="348">
        <f>AVERAGE(O50:R50)</f>
        <v>1</v>
      </c>
      <c r="K50" s="242">
        <v>4</v>
      </c>
      <c r="L50" s="242">
        <v>4</v>
      </c>
      <c r="M50" s="242">
        <v>4</v>
      </c>
      <c r="O50" s="242">
        <v>1</v>
      </c>
      <c r="P50" s="522">
        <v>1</v>
      </c>
      <c r="Q50" s="242">
        <v>1</v>
      </c>
      <c r="R50" s="242">
        <v>1</v>
      </c>
    </row>
    <row r="51" spans="1:23" ht="59.25" thickBot="1">
      <c r="A51" s="7"/>
      <c r="B51" s="7" t="s">
        <v>142</v>
      </c>
      <c r="F51" s="7"/>
      <c r="G51" s="332" t="str">
        <f t="shared" si="0"/>
        <v>MeinRegioStrom Ø 3 Jahre</v>
      </c>
      <c r="H51" s="351" t="s">
        <v>313</v>
      </c>
      <c r="I51" s="430" t="s">
        <v>312</v>
      </c>
      <c r="K51" s="345"/>
      <c r="L51" s="345"/>
    </row>
    <row r="52" spans="1:23">
      <c r="B52" t="s">
        <v>326</v>
      </c>
      <c r="D52" s="2">
        <f>G52</f>
        <v>16.574999999999999</v>
      </c>
      <c r="E52" t="s">
        <v>35</v>
      </c>
      <c r="F52" t="str">
        <f>G51</f>
        <v>MeinRegioStrom Ø 3 Jahre</v>
      </c>
      <c r="G52" s="332">
        <f t="shared" si="0"/>
        <v>16.574999999999999</v>
      </c>
      <c r="H52" s="347">
        <f>AVERAGE(K52:M52)</f>
        <v>10.933333333333332</v>
      </c>
      <c r="I52" s="348">
        <f>AVERAGE(O52:R52)</f>
        <v>16.574999999999999</v>
      </c>
      <c r="K52" s="242">
        <v>10.45</v>
      </c>
      <c r="L52" s="242">
        <v>9.4499999999999993</v>
      </c>
      <c r="M52" s="242">
        <v>12.9</v>
      </c>
      <c r="N52" s="324" t="s">
        <v>276</v>
      </c>
      <c r="O52" s="242">
        <v>11.5</v>
      </c>
      <c r="P52" s="523">
        <v>15</v>
      </c>
      <c r="Q52" s="429">
        <v>20.399999999999999</v>
      </c>
      <c r="R52" s="429">
        <v>19.399999999999999</v>
      </c>
      <c r="S52" s="324" t="s">
        <v>293</v>
      </c>
    </row>
    <row r="53" spans="1:23">
      <c r="B53" t="s">
        <v>327</v>
      </c>
      <c r="D53" s="2">
        <f>G53</f>
        <v>7.6825000000000001</v>
      </c>
      <c r="E53" t="s">
        <v>35</v>
      </c>
      <c r="G53" s="332">
        <f t="shared" si="0"/>
        <v>7.6825000000000001</v>
      </c>
      <c r="H53" s="347">
        <f t="shared" ref="H53:H56" si="2">AVERAGE(K53:M53)</f>
        <v>12.383333333333333</v>
      </c>
      <c r="I53" s="348">
        <f t="shared" ref="I53:I56" si="3">AVERAGE(O53:R53)</f>
        <v>7.6825000000000001</v>
      </c>
      <c r="K53" s="242">
        <v>13</v>
      </c>
      <c r="L53" s="242">
        <v>11.95</v>
      </c>
      <c r="M53" s="242">
        <v>12.2</v>
      </c>
      <c r="O53" s="242">
        <v>6</v>
      </c>
      <c r="P53" s="524">
        <v>6.49</v>
      </c>
      <c r="Q53" s="429">
        <v>8.74</v>
      </c>
      <c r="R53" s="429">
        <v>9.5</v>
      </c>
    </row>
    <row r="54" spans="1:23">
      <c r="B54" t="s">
        <v>63</v>
      </c>
      <c r="D54" s="2">
        <f>G54</f>
        <v>0.50750000000000006</v>
      </c>
      <c r="E54" t="s">
        <v>35</v>
      </c>
      <c r="G54" s="332">
        <f t="shared" si="0"/>
        <v>0.50750000000000006</v>
      </c>
      <c r="H54" s="347">
        <f t="shared" si="2"/>
        <v>0.52333333333333332</v>
      </c>
      <c r="I54" s="348">
        <f t="shared" si="3"/>
        <v>0.50750000000000006</v>
      </c>
      <c r="K54" s="242">
        <v>0.55000000000000004</v>
      </c>
      <c r="L54" s="242">
        <v>0.27</v>
      </c>
      <c r="M54" s="242">
        <v>0.75</v>
      </c>
      <c r="O54" s="242">
        <v>0.55000000000000004</v>
      </c>
      <c r="P54" s="524">
        <f>0.27</f>
        <v>0.27</v>
      </c>
      <c r="Q54" s="429">
        <v>0.46</v>
      </c>
      <c r="R54" s="429">
        <v>0.75</v>
      </c>
    </row>
    <row r="55" spans="1:23">
      <c r="B55" t="s">
        <v>288</v>
      </c>
      <c r="D55" s="2">
        <f>G55</f>
        <v>1.8949999999999998</v>
      </c>
      <c r="E55" t="s">
        <v>35</v>
      </c>
      <c r="G55" s="332">
        <f t="shared" si="0"/>
        <v>1.8949999999999998</v>
      </c>
      <c r="H55" s="347">
        <f t="shared" si="2"/>
        <v>2.4633333333333334</v>
      </c>
      <c r="I55" s="348">
        <f t="shared" si="3"/>
        <v>1.8949999999999998</v>
      </c>
      <c r="K55" s="242">
        <f>1.6+0.23</f>
        <v>1.83</v>
      </c>
      <c r="L55" s="242">
        <f>1.6+0.5+0.41+0.05</f>
        <v>2.56</v>
      </c>
      <c r="M55" s="242">
        <f>1.2+1.8</f>
        <v>3</v>
      </c>
      <c r="O55" s="440">
        <f>1.8+0.25</f>
        <v>2.0499999999999998</v>
      </c>
      <c r="P55" s="524">
        <f>1.8+0.41+0.05</f>
        <v>2.2599999999999998</v>
      </c>
      <c r="Q55" s="429">
        <v>0.92</v>
      </c>
      <c r="R55" s="429">
        <f>1.2+1.15</f>
        <v>2.3499999999999996</v>
      </c>
      <c r="S55" s="441" t="s">
        <v>321</v>
      </c>
    </row>
    <row r="56" spans="1:23">
      <c r="B56" t="s">
        <v>64</v>
      </c>
      <c r="D56" s="2">
        <f>G56</f>
        <v>2.2999999999999998</v>
      </c>
      <c r="E56" t="s">
        <v>35</v>
      </c>
      <c r="G56" s="333">
        <f t="shared" si="0"/>
        <v>2.2999999999999998</v>
      </c>
      <c r="H56" s="349">
        <f t="shared" si="2"/>
        <v>2.2999999999999998</v>
      </c>
      <c r="I56" s="350">
        <f t="shared" si="3"/>
        <v>2.2999999999999998</v>
      </c>
      <c r="K56" s="242">
        <v>2.2999999999999998</v>
      </c>
      <c r="L56" s="242">
        <v>2.2999999999999998</v>
      </c>
      <c r="M56" s="242">
        <v>2.2999999999999998</v>
      </c>
      <c r="O56" s="242">
        <v>2.2999999999999998</v>
      </c>
      <c r="P56" s="524">
        <v>2.2999999999999998</v>
      </c>
      <c r="Q56" s="429">
        <v>2.2999999999999998</v>
      </c>
      <c r="R56" s="429">
        <v>2.2999999999999998</v>
      </c>
    </row>
    <row r="57" spans="1:23">
      <c r="N57" t="s">
        <v>290</v>
      </c>
      <c r="P57" s="691" t="s">
        <v>376</v>
      </c>
    </row>
    <row r="58" spans="1:23">
      <c r="A58" t="s">
        <v>163</v>
      </c>
      <c r="P58" s="691"/>
      <c r="T58" s="342"/>
      <c r="U58" s="342"/>
    </row>
    <row r="59" spans="1:23">
      <c r="B59" t="s">
        <v>164</v>
      </c>
      <c r="D59" s="241">
        <v>30</v>
      </c>
      <c r="E59" t="s">
        <v>45</v>
      </c>
      <c r="F59" t="s">
        <v>184</v>
      </c>
      <c r="P59" s="691"/>
      <c r="T59" s="344">
        <v>44853</v>
      </c>
      <c r="U59" s="344" t="s">
        <v>262</v>
      </c>
      <c r="V59" s="241" t="s">
        <v>283</v>
      </c>
    </row>
    <row r="60" spans="1:23">
      <c r="B60" t="s">
        <v>174</v>
      </c>
      <c r="D60" s="241">
        <v>20</v>
      </c>
      <c r="E60" t="s">
        <v>45</v>
      </c>
      <c r="F60" t="s">
        <v>184</v>
      </c>
      <c r="P60" s="691"/>
      <c r="T60" s="344">
        <v>44853</v>
      </c>
      <c r="U60" s="344" t="s">
        <v>262</v>
      </c>
      <c r="V60" s="241" t="s">
        <v>283</v>
      </c>
    </row>
    <row r="61" spans="1:23" ht="15.75" thickBot="1">
      <c r="B61" t="s">
        <v>36</v>
      </c>
      <c r="D61" s="241">
        <v>1.25</v>
      </c>
      <c r="E61" t="s">
        <v>5</v>
      </c>
      <c r="F61" t="s">
        <v>102</v>
      </c>
      <c r="P61" s="692"/>
      <c r="T61" s="518">
        <v>45931</v>
      </c>
      <c r="U61" s="344" t="s">
        <v>263</v>
      </c>
      <c r="V61" s="241" t="s">
        <v>282</v>
      </c>
      <c r="W61" s="324" t="s">
        <v>295</v>
      </c>
    </row>
    <row r="62" spans="1:23">
      <c r="B62" t="s">
        <v>4</v>
      </c>
      <c r="D62" s="241">
        <v>25</v>
      </c>
      <c r="E62" t="s">
        <v>5</v>
      </c>
      <c r="F62" t="s">
        <v>184</v>
      </c>
      <c r="T62" s="342"/>
      <c r="U62" s="342"/>
    </row>
    <row r="63" spans="1:23">
      <c r="B63" t="s">
        <v>165</v>
      </c>
      <c r="D63" s="242">
        <v>3</v>
      </c>
      <c r="E63" t="s">
        <v>35</v>
      </c>
      <c r="F63" t="s">
        <v>184</v>
      </c>
      <c r="T63" s="344">
        <v>44853</v>
      </c>
      <c r="U63" s="344" t="s">
        <v>262</v>
      </c>
      <c r="V63" s="241" t="s">
        <v>283</v>
      </c>
    </row>
    <row r="64" spans="1:23">
      <c r="B64" t="s">
        <v>169</v>
      </c>
      <c r="D64" s="241">
        <v>8.1</v>
      </c>
      <c r="E64" t="s">
        <v>5</v>
      </c>
      <c r="F64" t="s">
        <v>184</v>
      </c>
      <c r="T64" s="518">
        <v>45931</v>
      </c>
      <c r="U64" s="344" t="s">
        <v>263</v>
      </c>
      <c r="V64" s="241" t="s">
        <v>260</v>
      </c>
    </row>
    <row r="66" spans="1:23" ht="30">
      <c r="A66" t="s">
        <v>144</v>
      </c>
      <c r="F66" s="244" t="s">
        <v>274</v>
      </c>
      <c r="T66" s="344">
        <v>45622</v>
      </c>
      <c r="U66" s="344" t="s">
        <v>263</v>
      </c>
      <c r="V66" s="241" t="s">
        <v>260</v>
      </c>
      <c r="W66" t="s">
        <v>322</v>
      </c>
    </row>
    <row r="67" spans="1:23" ht="89.25">
      <c r="B67" t="s">
        <v>126</v>
      </c>
      <c r="C67" t="s">
        <v>28</v>
      </c>
      <c r="G67" t="s">
        <v>175</v>
      </c>
      <c r="K67" s="446" t="s">
        <v>329</v>
      </c>
      <c r="L67" s="447" t="s">
        <v>330</v>
      </c>
      <c r="M67" s="447" t="s">
        <v>323</v>
      </c>
      <c r="N67" s="448" t="s">
        <v>324</v>
      </c>
      <c r="O67" s="356"/>
      <c r="P67" s="356"/>
      <c r="T67" s="342"/>
      <c r="U67" s="342"/>
    </row>
    <row r="68" spans="1:23">
      <c r="B68" t="s">
        <v>166</v>
      </c>
      <c r="C68">
        <f ca="1">_Anlageleistung_Max</f>
        <v>0</v>
      </c>
      <c r="D68" s="4" t="str">
        <f ca="1">IFERROR(G69/(_MWSt_Satz/100+1),"")</f>
        <v/>
      </c>
      <c r="E68" t="s">
        <v>60</v>
      </c>
      <c r="F68" s="261" t="s">
        <v>183</v>
      </c>
      <c r="K68" s="438">
        <v>2</v>
      </c>
      <c r="L68" s="243">
        <v>10</v>
      </c>
      <c r="M68" s="243">
        <v>2034</v>
      </c>
      <c r="N68" s="439">
        <v>6191</v>
      </c>
      <c r="O68" s="4"/>
      <c r="P68" s="4"/>
      <c r="T68" s="518">
        <v>45931</v>
      </c>
      <c r="U68" s="344" t="s">
        <v>263</v>
      </c>
      <c r="V68" s="241" t="s">
        <v>260</v>
      </c>
    </row>
    <row r="69" spans="1:23">
      <c r="B69" t="s">
        <v>146</v>
      </c>
      <c r="C69">
        <f ca="1">_Anlageleistung_ges.Min</f>
        <v>0</v>
      </c>
      <c r="D69" s="4" t="str">
        <f ca="1">IFERROR(G70/(_MWSt_Satz/100+1),"")</f>
        <v/>
      </c>
      <c r="E69" t="s">
        <v>60</v>
      </c>
      <c r="F69" s="261" t="s">
        <v>183</v>
      </c>
      <c r="G69" s="243" t="e" cm="1">
        <f t="array" aca="1" ref="G69" ca="1">IF(AND(C68&gt;=$K$68,C68&lt;=$L$71),IF(AND(C68&gt;=$K$68,C68&lt;$L$68),C68*$M$68+$N$68,
MIN($M$69:$M$71*C68+$N$69:$N$71)),0)/C68</f>
        <v>#DIV/0!</v>
      </c>
      <c r="H69" t="s">
        <v>60</v>
      </c>
      <c r="I69" s="247" t="s">
        <v>264</v>
      </c>
      <c r="K69" s="449">
        <f>L68</f>
        <v>10</v>
      </c>
      <c r="L69" s="243">
        <v>30</v>
      </c>
      <c r="M69" s="243">
        <v>1177</v>
      </c>
      <c r="N69" s="439">
        <v>14762</v>
      </c>
      <c r="O69" s="4"/>
      <c r="P69" s="4"/>
      <c r="T69" s="518">
        <v>45931</v>
      </c>
      <c r="U69" s="344" t="s">
        <v>263</v>
      </c>
      <c r="V69" s="241" t="s">
        <v>260</v>
      </c>
    </row>
    <row r="70" spans="1:23">
      <c r="G70" s="243" t="e" cm="1">
        <f t="array" aca="1" ref="G70" ca="1">IF(AND(C69&gt;=$K$68,C69&lt;=$L$71),IF(AND(C69&gt;=$K$68,C69&lt;$L$68),C69*$M$68+$N$68,
MIN($M$69:$M$71*C69+$N$69:$N$71)),0)/C69</f>
        <v>#DIV/0!</v>
      </c>
      <c r="H70" t="s">
        <v>60</v>
      </c>
      <c r="I70" s="247" t="s">
        <v>264</v>
      </c>
      <c r="K70" s="449">
        <f t="shared" ref="K70:K71" si="4">L69</f>
        <v>30</v>
      </c>
      <c r="L70" s="243">
        <v>100</v>
      </c>
      <c r="M70" s="243">
        <v>1464</v>
      </c>
      <c r="N70" s="439">
        <v>6148</v>
      </c>
      <c r="O70" s="4"/>
      <c r="P70" s="4"/>
      <c r="T70" s="342"/>
      <c r="U70" s="342"/>
    </row>
    <row r="71" spans="1:23">
      <c r="A71" t="s">
        <v>176</v>
      </c>
      <c r="K71" s="459">
        <f t="shared" si="4"/>
        <v>100</v>
      </c>
      <c r="L71" s="460">
        <v>10000</v>
      </c>
      <c r="M71" s="460">
        <v>758</v>
      </c>
      <c r="N71" s="461">
        <v>76754</v>
      </c>
      <c r="O71" s="4"/>
      <c r="P71" s="4"/>
      <c r="T71" s="342"/>
      <c r="U71" s="342"/>
    </row>
    <row r="72" spans="1:23">
      <c r="B72" t="s">
        <v>331</v>
      </c>
      <c r="D72" s="458">
        <v>45748</v>
      </c>
      <c r="M72" s="342"/>
      <c r="O72" s="4"/>
      <c r="P72" s="4"/>
      <c r="T72" s="342"/>
      <c r="U72" s="342"/>
    </row>
    <row r="73" spans="1:23">
      <c r="B73" t="s">
        <v>109</v>
      </c>
      <c r="D73" s="241">
        <v>1</v>
      </c>
      <c r="E73" t="s">
        <v>45</v>
      </c>
      <c r="K73" s="437"/>
      <c r="T73" s="518">
        <v>45931</v>
      </c>
      <c r="U73" s="344" t="s">
        <v>263</v>
      </c>
      <c r="V73" s="241" t="s">
        <v>267</v>
      </c>
    </row>
    <row r="74" spans="1:23">
      <c r="B74" t="s">
        <v>221</v>
      </c>
      <c r="D74" s="248">
        <v>0</v>
      </c>
      <c r="E74" s="250">
        <v>5</v>
      </c>
      <c r="M74" s="342"/>
      <c r="O74" s="4"/>
      <c r="P74" s="4"/>
      <c r="T74" s="342"/>
      <c r="U74" s="342"/>
    </row>
    <row r="75" spans="1:23">
      <c r="B75" t="s">
        <v>328</v>
      </c>
      <c r="D75" s="248">
        <v>0</v>
      </c>
      <c r="K75" s="437"/>
      <c r="T75" s="342"/>
      <c r="U75" s="342"/>
      <c r="W75" s="525" t="s">
        <v>390</v>
      </c>
    </row>
    <row r="76" spans="1:23">
      <c r="B76" t="str">
        <f>"Leistungsbeitrag  &lt; "&amp;E76&amp;" kVA"</f>
        <v>Leistungsbeitrag  &lt; 30 kVA</v>
      </c>
      <c r="D76" s="249">
        <v>360</v>
      </c>
      <c r="E76" s="250">
        <v>30</v>
      </c>
      <c r="M76" s="342"/>
      <c r="T76" s="342"/>
      <c r="U76" s="342"/>
    </row>
    <row r="77" spans="1:23">
      <c r="B77" t="str">
        <f>"Leistungsbeitrag "&amp;E76&amp;" - "&amp;E77&amp;" kVA"</f>
        <v>Leistungsbeitrag 30 - 100 kVA</v>
      </c>
      <c r="D77" s="249">
        <v>300</v>
      </c>
      <c r="E77" s="250">
        <v>100</v>
      </c>
      <c r="T77" s="342"/>
      <c r="U77" s="342"/>
    </row>
    <row r="78" spans="1:23">
      <c r="B78" t="str">
        <f>"Leistungsbeitrag &gt; "&amp;E77&amp;" kVA"</f>
        <v>Leistungsbeitrag &gt; 100 kVA</v>
      </c>
      <c r="D78" s="249">
        <v>250</v>
      </c>
      <c r="E78" s="250">
        <v>5000</v>
      </c>
      <c r="T78" s="342"/>
      <c r="U78" s="342"/>
    </row>
    <row r="79" spans="1:23">
      <c r="B79" t="s">
        <v>332</v>
      </c>
      <c r="D79" s="249">
        <v>200</v>
      </c>
      <c r="E79" s="462">
        <v>75</v>
      </c>
      <c r="T79" s="342"/>
      <c r="U79" s="342"/>
    </row>
    <row r="80" spans="1:23">
      <c r="B80" t="s">
        <v>360</v>
      </c>
      <c r="D80" s="249">
        <v>250</v>
      </c>
      <c r="E80" s="250">
        <v>100</v>
      </c>
      <c r="T80" s="342"/>
      <c r="U80" s="342"/>
    </row>
    <row r="81" spans="1:21">
      <c r="T81" s="342"/>
      <c r="U81" s="342"/>
    </row>
    <row r="82" spans="1:21">
      <c r="A82" t="s">
        <v>179</v>
      </c>
    </row>
    <row r="83" spans="1:21">
      <c r="B83" t="s">
        <v>109</v>
      </c>
      <c r="D83" s="241">
        <v>1</v>
      </c>
      <c r="E83" t="s">
        <v>45</v>
      </c>
    </row>
    <row r="84" spans="1:21">
      <c r="B84" t="s">
        <v>180</v>
      </c>
      <c r="D84" s="241">
        <v>20</v>
      </c>
      <c r="E84" t="s">
        <v>5</v>
      </c>
      <c r="F84" t="s">
        <v>333</v>
      </c>
    </row>
    <row r="85" spans="1:21" ht="17.25">
      <c r="B85" t="s">
        <v>336</v>
      </c>
      <c r="D85" s="243">
        <v>100</v>
      </c>
      <c r="E85" t="s">
        <v>338</v>
      </c>
      <c r="F85" t="s">
        <v>182</v>
      </c>
    </row>
    <row r="86" spans="1:21">
      <c r="B86" t="s">
        <v>337</v>
      </c>
      <c r="D86" s="243">
        <v>300</v>
      </c>
      <c r="E86" t="s">
        <v>60</v>
      </c>
      <c r="F86" t="s">
        <v>339</v>
      </c>
    </row>
  </sheetData>
  <sheetProtection algorithmName="SHA-512" hashValue="/J50KCcW7phrBFPkhq4iV8AGHgUKj6NK50HZUDeDktmNXSZ065y7NVhnzBhMGSQPp2rNn04FLW/B10gZodNBUw==" saltValue="I89kOzF/wLQps3S2924RGQ==" spinCount="100000" sheet="1" objects="1" scenarios="1" selectLockedCells="1" autoFilter="0"/>
  <mergeCells count="6">
    <mergeCell ref="P57:P61"/>
    <mergeCell ref="K44:R45"/>
    <mergeCell ref="D5:F5"/>
    <mergeCell ref="H44:I44"/>
    <mergeCell ref="D21:E21"/>
    <mergeCell ref="D30:E30"/>
  </mergeCells>
  <phoneticPr fontId="31" type="noConversion"/>
  <hyperlinks>
    <hyperlink ref="S48" r:id="rId1" xr:uid="{047DD919-BF80-4E0A-8232-3238781C61BF}"/>
    <hyperlink ref="S47" r:id="rId2" location="die-ruecklieferverguetung" xr:uid="{39ABCDAD-FC23-49D8-8E50-FE720A15E34C}"/>
    <hyperlink ref="N52" r:id="rId3" xr:uid="{0BA3250F-EB0C-4697-8A7D-8F6EAC69594E}"/>
    <hyperlink ref="S52" r:id="rId4" xr:uid="{18D54DC1-147E-4631-8CF7-AFE57A4FA00D}"/>
    <hyperlink ref="W61" r:id="rId5" xr:uid="{2F7E99D4-899E-4B9B-9B02-A382A739D5E3}"/>
  </hyperlinks>
  <pageMargins left="0.7" right="0.7" top="0.78740157499999996" bottom="0.78740157499999996" header="0.3" footer="0.3"/>
  <pageSetup paperSize="9" orientation="portrait" r:id="rId6"/>
  <drawing r:id="rId7"/>
  <legacyDrawing r:id="rId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CT79"/>
  <sheetViews>
    <sheetView workbookViewId="0">
      <selection activeCell="B7" sqref="B7"/>
    </sheetView>
  </sheetViews>
  <sheetFormatPr baseColWidth="10" defaultColWidth="0" defaultRowHeight="15" zeroHeight="1"/>
  <cols>
    <col min="1" max="1" width="4.140625" customWidth="1"/>
    <col min="2" max="37" width="3.42578125" customWidth="1"/>
    <col min="38" max="38" width="4.5703125" customWidth="1"/>
    <col min="39" max="98" width="3.42578125" hidden="1" customWidth="1"/>
    <col min="99" max="16384" width="11.42578125" hidden="1"/>
  </cols>
  <sheetData>
    <row r="1" spans="1:37" ht="15.75" thickBot="1">
      <c r="A1" s="27" t="str">
        <f ca="1">MID(CELL("dateiname",A1),SEARCH("]",CELL("dateiname",A1))+1,31)</f>
        <v>Modulfeld Standard</v>
      </c>
    </row>
    <row r="2" spans="1:37" ht="15" customHeight="1">
      <c r="B2" s="431">
        <f>Bericht!B2</f>
        <v>0</v>
      </c>
      <c r="C2" s="432"/>
      <c r="D2" s="432"/>
      <c r="E2" s="432"/>
      <c r="F2" s="432"/>
      <c r="G2" s="432"/>
      <c r="H2" s="432"/>
      <c r="I2" s="432"/>
      <c r="J2" s="432"/>
      <c r="K2" s="432"/>
      <c r="L2" s="718" t="str">
        <f>_Dok_Titel</f>
        <v>Planungshilfe
Solar- und Photovoltaikanlagen auf Schrägdächern (Art. 77 Abs. 3 und 4 BZR)
Formular-Release 2.5</v>
      </c>
      <c r="M2" s="718"/>
      <c r="N2" s="718"/>
      <c r="O2" s="718"/>
      <c r="P2" s="718"/>
      <c r="Q2" s="718"/>
      <c r="R2" s="718"/>
      <c r="S2" s="718"/>
      <c r="T2" s="718"/>
      <c r="U2" s="718"/>
      <c r="V2" s="718"/>
      <c r="W2" s="718"/>
      <c r="X2" s="718"/>
      <c r="Y2" s="718"/>
      <c r="Z2" s="718"/>
      <c r="AA2" s="718"/>
      <c r="AB2" s="718"/>
      <c r="AC2" s="718"/>
      <c r="AD2" s="718"/>
      <c r="AE2" s="718"/>
      <c r="AF2" s="718"/>
      <c r="AG2" s="718"/>
      <c r="AH2" s="718"/>
      <c r="AI2" s="718"/>
      <c r="AJ2" s="718"/>
      <c r="AK2" s="719"/>
    </row>
    <row r="3" spans="1:37" ht="15" customHeight="1">
      <c r="B3" s="433"/>
      <c r="C3" s="434"/>
      <c r="D3" s="434"/>
      <c r="E3" s="434"/>
      <c r="F3" s="434"/>
      <c r="G3" s="434"/>
      <c r="H3" s="434"/>
      <c r="I3" s="434"/>
      <c r="J3" s="434"/>
      <c r="K3" s="434"/>
      <c r="L3" s="720"/>
      <c r="M3" s="720"/>
      <c r="N3" s="720"/>
      <c r="O3" s="720"/>
      <c r="P3" s="720"/>
      <c r="Q3" s="720"/>
      <c r="R3" s="720"/>
      <c r="S3" s="720"/>
      <c r="T3" s="720"/>
      <c r="U3" s="720"/>
      <c r="V3" s="720"/>
      <c r="W3" s="720"/>
      <c r="X3" s="720"/>
      <c r="Y3" s="720"/>
      <c r="Z3" s="720"/>
      <c r="AA3" s="720"/>
      <c r="AB3" s="720"/>
      <c r="AC3" s="720"/>
      <c r="AD3" s="720"/>
      <c r="AE3" s="720"/>
      <c r="AF3" s="720"/>
      <c r="AG3" s="720"/>
      <c r="AH3" s="720"/>
      <c r="AI3" s="720"/>
      <c r="AJ3" s="720"/>
      <c r="AK3" s="721"/>
    </row>
    <row r="4" spans="1:37" ht="34.5" customHeight="1" thickBot="1">
      <c r="B4" s="435"/>
      <c r="C4" s="436"/>
      <c r="D4" s="436"/>
      <c r="E4" s="436"/>
      <c r="F4" s="436"/>
      <c r="G4" s="436"/>
      <c r="H4" s="436"/>
      <c r="I4" s="436"/>
      <c r="J4" s="436"/>
      <c r="K4" s="436"/>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3"/>
    </row>
    <row r="5" spans="1:37" ht="15.75" thickBot="1"/>
    <row r="6" spans="1:37" s="21" customFormat="1" ht="25.15" customHeight="1" thickBot="1">
      <c r="B6" s="724" t="str">
        <f>"Zusatzblatt minimale Grösse Modulfeld mit Standardmodulen ("&amp;Basisdaten!D25&amp;" x " &amp;Basisdaten!D26&amp;" m)"</f>
        <v>Zusatzblatt minimale Grösse Modulfeld mit Standardmodulen (1.8 x 1.134 m)</v>
      </c>
      <c r="C6" s="725"/>
      <c r="D6" s="725"/>
      <c r="E6" s="725"/>
      <c r="F6" s="725"/>
      <c r="G6" s="725"/>
      <c r="H6" s="725"/>
      <c r="I6" s="725"/>
      <c r="J6" s="725"/>
      <c r="K6" s="725"/>
      <c r="L6" s="725"/>
      <c r="M6" s="725"/>
      <c r="N6" s="725"/>
      <c r="O6" s="725"/>
      <c r="P6" s="725"/>
      <c r="Q6" s="725"/>
      <c r="R6" s="725"/>
      <c r="S6" s="725"/>
      <c r="T6" s="725"/>
      <c r="U6" s="725"/>
      <c r="V6" s="725"/>
      <c r="W6" s="725"/>
      <c r="X6" s="725"/>
      <c r="Y6" s="725"/>
      <c r="Z6" s="725"/>
      <c r="AA6" s="725"/>
      <c r="AB6" s="725"/>
      <c r="AC6" s="725"/>
      <c r="AD6" s="725"/>
      <c r="AE6" s="725"/>
      <c r="AF6" s="725"/>
      <c r="AG6" s="725"/>
      <c r="AH6" s="725"/>
      <c r="AI6" s="725"/>
      <c r="AJ6" s="725"/>
      <c r="AK6" s="726"/>
    </row>
    <row r="7" spans="1:37" ht="18" customHeight="1" thickBot="1"/>
    <row r="8" spans="1:37" ht="25.5" customHeight="1">
      <c r="B8" s="705" t="s">
        <v>81</v>
      </c>
      <c r="C8" s="706"/>
      <c r="D8" s="706"/>
      <c r="E8" s="706"/>
      <c r="F8" s="706"/>
      <c r="G8" s="706"/>
      <c r="H8" s="706"/>
      <c r="I8" s="706"/>
      <c r="J8" s="706"/>
      <c r="K8" s="706"/>
      <c r="L8" s="706"/>
      <c r="M8" s="706"/>
      <c r="N8" s="706"/>
      <c r="O8" s="706"/>
      <c r="P8" s="706"/>
      <c r="Q8" s="706"/>
      <c r="R8" s="706"/>
      <c r="S8" s="706"/>
      <c r="T8" s="706"/>
      <c r="U8" s="706"/>
      <c r="V8" s="706"/>
      <c r="W8" s="706"/>
      <c r="X8" s="706"/>
      <c r="Y8" s="706"/>
      <c r="Z8" s="706"/>
      <c r="AA8" s="706"/>
      <c r="AB8" s="706"/>
      <c r="AC8" s="706"/>
      <c r="AD8" s="706"/>
      <c r="AE8" s="706"/>
      <c r="AF8" s="706"/>
      <c r="AG8" s="706"/>
      <c r="AH8" s="706"/>
      <c r="AI8" s="706"/>
      <c r="AJ8" s="706"/>
      <c r="AK8" s="707"/>
    </row>
    <row r="9" spans="1:37" ht="18" customHeight="1" thickBot="1">
      <c r="B9" s="14"/>
      <c r="AK9" s="15"/>
    </row>
    <row r="10" spans="1:37" ht="18" customHeight="1">
      <c r="B10" s="14"/>
      <c r="C10" s="708"/>
      <c r="D10" s="709"/>
      <c r="E10" s="709"/>
      <c r="F10" s="709"/>
      <c r="G10" s="710"/>
      <c r="H10" s="699" t="str">
        <f>"Höhe &gt; "&amp;ROUNDUP(2* _Modul_Randabstand+5*_Modul_Zeilenabstand+6*_Modulbreite_Standard,1)&amp;" m"</f>
        <v>Höhe &gt; 7.4 m</v>
      </c>
      <c r="I10" s="700"/>
      <c r="J10" s="700"/>
      <c r="K10" s="700"/>
      <c r="W10" s="708"/>
      <c r="X10" s="709"/>
      <c r="Y10" s="709"/>
      <c r="Z10" s="709"/>
      <c r="AA10" s="710"/>
      <c r="AB10" s="708"/>
      <c r="AC10" s="709"/>
      <c r="AD10" s="709"/>
      <c r="AE10" s="709"/>
      <c r="AF10" s="710"/>
      <c r="AG10" s="702" t="str">
        <f>"Höhe &gt; "&amp;ROUNDUP(2* _Modul_Randabstand+2*_Modul_Zeilenabstand+3*_Modulbreite_Standard,1)&amp;" m"</f>
        <v>Höhe &gt; 3.9 m</v>
      </c>
      <c r="AH10" s="703"/>
      <c r="AI10" s="703"/>
      <c r="AJ10" s="703"/>
      <c r="AK10" s="15"/>
    </row>
    <row r="11" spans="1:37" ht="18" customHeight="1">
      <c r="B11" s="14"/>
      <c r="C11" s="711"/>
      <c r="D11" s="712"/>
      <c r="E11" s="712"/>
      <c r="F11" s="712"/>
      <c r="G11" s="713"/>
      <c r="H11" s="699"/>
      <c r="I11" s="700"/>
      <c r="J11" s="700"/>
      <c r="K11" s="700"/>
      <c r="W11" s="711"/>
      <c r="X11" s="712"/>
      <c r="Y11" s="712"/>
      <c r="Z11" s="712"/>
      <c r="AA11" s="713"/>
      <c r="AB11" s="711"/>
      <c r="AC11" s="712"/>
      <c r="AD11" s="712"/>
      <c r="AE11" s="712"/>
      <c r="AF11" s="713"/>
      <c r="AG11" s="702"/>
      <c r="AH11" s="703"/>
      <c r="AI11" s="703"/>
      <c r="AJ11" s="703"/>
      <c r="AK11" s="15"/>
    </row>
    <row r="12" spans="1:37" ht="18" customHeight="1" thickBot="1">
      <c r="B12" s="14"/>
      <c r="C12" s="714"/>
      <c r="D12" s="715"/>
      <c r="E12" s="715"/>
      <c r="F12" s="715"/>
      <c r="G12" s="716"/>
      <c r="H12" s="699"/>
      <c r="I12" s="700"/>
      <c r="J12" s="700"/>
      <c r="K12" s="700"/>
      <c r="W12" s="714"/>
      <c r="X12" s="715"/>
      <c r="Y12" s="715"/>
      <c r="Z12" s="715"/>
      <c r="AA12" s="716"/>
      <c r="AB12" s="714"/>
      <c r="AC12" s="715"/>
      <c r="AD12" s="715"/>
      <c r="AE12" s="715"/>
      <c r="AF12" s="716"/>
      <c r="AG12" s="702"/>
      <c r="AH12" s="703"/>
      <c r="AI12" s="703"/>
      <c r="AJ12" s="703"/>
      <c r="AK12" s="15"/>
    </row>
    <row r="13" spans="1:37" ht="18" customHeight="1">
      <c r="B13" s="14"/>
      <c r="C13" s="708"/>
      <c r="D13" s="709"/>
      <c r="E13" s="709"/>
      <c r="F13" s="709"/>
      <c r="G13" s="710"/>
      <c r="H13" s="699"/>
      <c r="I13" s="700"/>
      <c r="J13" s="700"/>
      <c r="K13" s="700"/>
      <c r="W13" s="708"/>
      <c r="X13" s="709"/>
      <c r="Y13" s="709"/>
      <c r="Z13" s="709"/>
      <c r="AA13" s="710"/>
      <c r="AB13" s="708"/>
      <c r="AC13" s="709"/>
      <c r="AD13" s="709"/>
      <c r="AE13" s="709"/>
      <c r="AF13" s="710"/>
      <c r="AG13" s="702"/>
      <c r="AH13" s="703"/>
      <c r="AI13" s="703"/>
      <c r="AJ13" s="703"/>
      <c r="AK13" s="15"/>
    </row>
    <row r="14" spans="1:37" ht="18" customHeight="1">
      <c r="B14" s="14"/>
      <c r="C14" s="711"/>
      <c r="D14" s="712"/>
      <c r="E14" s="712"/>
      <c r="F14" s="712"/>
      <c r="G14" s="713"/>
      <c r="H14" s="699"/>
      <c r="I14" s="700"/>
      <c r="J14" s="700"/>
      <c r="K14" s="700"/>
      <c r="W14" s="711"/>
      <c r="X14" s="712"/>
      <c r="Y14" s="712"/>
      <c r="Z14" s="712"/>
      <c r="AA14" s="713"/>
      <c r="AB14" s="711"/>
      <c r="AC14" s="712"/>
      <c r="AD14" s="712"/>
      <c r="AE14" s="712"/>
      <c r="AF14" s="713"/>
      <c r="AG14" s="702"/>
      <c r="AH14" s="703"/>
      <c r="AI14" s="703"/>
      <c r="AJ14" s="703"/>
      <c r="AK14" s="15"/>
    </row>
    <row r="15" spans="1:37" ht="18" customHeight="1" thickBot="1">
      <c r="B15" s="14"/>
      <c r="C15" s="714"/>
      <c r="D15" s="715"/>
      <c r="E15" s="715"/>
      <c r="F15" s="715"/>
      <c r="G15" s="716"/>
      <c r="H15" s="699"/>
      <c r="I15" s="700"/>
      <c r="J15" s="700"/>
      <c r="K15" s="700"/>
      <c r="W15" s="714"/>
      <c r="X15" s="715"/>
      <c r="Y15" s="715"/>
      <c r="Z15" s="715"/>
      <c r="AA15" s="716"/>
      <c r="AB15" s="714"/>
      <c r="AC15" s="715"/>
      <c r="AD15" s="715"/>
      <c r="AE15" s="715"/>
      <c r="AF15" s="716"/>
      <c r="AG15" s="702"/>
      <c r="AH15" s="703"/>
      <c r="AI15" s="703"/>
      <c r="AJ15" s="703"/>
      <c r="AK15" s="15"/>
    </row>
    <row r="16" spans="1:37" ht="18" customHeight="1">
      <c r="B16" s="14"/>
      <c r="C16" s="708"/>
      <c r="D16" s="709"/>
      <c r="E16" s="709"/>
      <c r="F16" s="709"/>
      <c r="G16" s="710"/>
      <c r="H16" s="699"/>
      <c r="I16" s="700"/>
      <c r="J16" s="700"/>
      <c r="K16" s="700"/>
      <c r="W16" s="708"/>
      <c r="X16" s="709"/>
      <c r="Y16" s="709"/>
      <c r="Z16" s="709"/>
      <c r="AA16" s="710"/>
      <c r="AB16" s="708"/>
      <c r="AC16" s="709"/>
      <c r="AD16" s="709"/>
      <c r="AE16" s="709"/>
      <c r="AF16" s="710"/>
      <c r="AG16" s="702"/>
      <c r="AH16" s="703"/>
      <c r="AI16" s="703"/>
      <c r="AJ16" s="703"/>
      <c r="AK16" s="15"/>
    </row>
    <row r="17" spans="2:37" ht="18" customHeight="1">
      <c r="B17" s="14"/>
      <c r="C17" s="711"/>
      <c r="D17" s="712"/>
      <c r="E17" s="712"/>
      <c r="F17" s="712"/>
      <c r="G17" s="713"/>
      <c r="H17" s="699"/>
      <c r="I17" s="700"/>
      <c r="J17" s="700"/>
      <c r="K17" s="700"/>
      <c r="W17" s="711"/>
      <c r="X17" s="712"/>
      <c r="Y17" s="712"/>
      <c r="Z17" s="712"/>
      <c r="AA17" s="713"/>
      <c r="AB17" s="711"/>
      <c r="AC17" s="712"/>
      <c r="AD17" s="712"/>
      <c r="AE17" s="712"/>
      <c r="AF17" s="713"/>
      <c r="AG17" s="702"/>
      <c r="AH17" s="703"/>
      <c r="AI17" s="703"/>
      <c r="AJ17" s="703"/>
      <c r="AK17" s="15"/>
    </row>
    <row r="18" spans="2:37" ht="18" customHeight="1" thickBot="1">
      <c r="B18" s="14"/>
      <c r="C18" s="714"/>
      <c r="D18" s="715"/>
      <c r="E18" s="715"/>
      <c r="F18" s="715"/>
      <c r="G18" s="716"/>
      <c r="H18" s="699"/>
      <c r="I18" s="700"/>
      <c r="J18" s="700"/>
      <c r="K18" s="700"/>
      <c r="W18" s="714"/>
      <c r="X18" s="715"/>
      <c r="Y18" s="715"/>
      <c r="Z18" s="715"/>
      <c r="AA18" s="716"/>
      <c r="AB18" s="714"/>
      <c r="AC18" s="715"/>
      <c r="AD18" s="715"/>
      <c r="AE18" s="715"/>
      <c r="AF18" s="716"/>
      <c r="AG18" s="702"/>
      <c r="AH18" s="703"/>
      <c r="AI18" s="703"/>
      <c r="AJ18" s="703"/>
      <c r="AK18" s="15"/>
    </row>
    <row r="19" spans="2:37" ht="18" customHeight="1">
      <c r="B19" s="14"/>
      <c r="C19" s="708"/>
      <c r="D19" s="709"/>
      <c r="E19" s="709"/>
      <c r="F19" s="709"/>
      <c r="G19" s="710"/>
      <c r="H19" s="699"/>
      <c r="I19" s="700"/>
      <c r="J19" s="700"/>
      <c r="K19" s="700"/>
      <c r="W19" s="701" t="str">
        <f>"Breite &gt; "&amp;ROUNDUP(2*_Modul_Randabstand+1*_Modul_Spaltenabstand+2*_Modullänge_Standard,1)&amp;" m"</f>
        <v>Breite &gt; 4.1 m</v>
      </c>
      <c r="X19" s="701"/>
      <c r="Y19" s="701"/>
      <c r="Z19" s="701"/>
      <c r="AA19" s="701"/>
      <c r="AB19" s="701"/>
      <c r="AC19" s="701"/>
      <c r="AD19" s="701"/>
      <c r="AE19" s="701"/>
      <c r="AF19" s="701"/>
      <c r="AK19" s="15"/>
    </row>
    <row r="20" spans="2:37" ht="18" customHeight="1">
      <c r="B20" s="14"/>
      <c r="C20" s="711"/>
      <c r="D20" s="712"/>
      <c r="E20" s="712"/>
      <c r="F20" s="712"/>
      <c r="G20" s="713"/>
      <c r="H20" s="699"/>
      <c r="I20" s="700"/>
      <c r="J20" s="700"/>
      <c r="K20" s="700"/>
      <c r="AK20" s="15"/>
    </row>
    <row r="21" spans="2:37" ht="18" customHeight="1" thickBot="1">
      <c r="B21" s="14"/>
      <c r="C21" s="714"/>
      <c r="D21" s="715"/>
      <c r="E21" s="715"/>
      <c r="F21" s="715"/>
      <c r="G21" s="716"/>
      <c r="H21" s="699"/>
      <c r="I21" s="700"/>
      <c r="J21" s="700"/>
      <c r="K21" s="700"/>
      <c r="AK21" s="15"/>
    </row>
    <row r="22" spans="2:37" ht="18" customHeight="1">
      <c r="B22" s="14"/>
      <c r="C22" s="708"/>
      <c r="D22" s="709"/>
      <c r="E22" s="709"/>
      <c r="F22" s="709"/>
      <c r="G22" s="710"/>
      <c r="H22" s="699"/>
      <c r="I22" s="700"/>
      <c r="J22" s="700"/>
      <c r="K22" s="700"/>
      <c r="R22" s="708"/>
      <c r="S22" s="709"/>
      <c r="T22" s="709"/>
      <c r="U22" s="709"/>
      <c r="V22" s="710"/>
      <c r="W22" s="708"/>
      <c r="X22" s="709"/>
      <c r="Y22" s="709"/>
      <c r="Z22" s="709"/>
      <c r="AA22" s="710"/>
      <c r="AB22" s="708"/>
      <c r="AC22" s="709"/>
      <c r="AD22" s="709"/>
      <c r="AE22" s="709"/>
      <c r="AF22" s="710"/>
      <c r="AG22" s="699" t="str">
        <f>"Höhe &gt; "&amp;ROUNDUP(2*_Modul_Randabstand+1*_Modul_Zeilenabstand+2*_Modulbreite_Standard,1)&amp;" m"</f>
        <v>Höhe &gt; 2.7 m</v>
      </c>
      <c r="AH22" s="700"/>
      <c r="AI22" s="700"/>
      <c r="AJ22" s="700"/>
      <c r="AK22" s="15"/>
    </row>
    <row r="23" spans="2:37" ht="18" customHeight="1">
      <c r="B23" s="14"/>
      <c r="C23" s="711"/>
      <c r="D23" s="712"/>
      <c r="E23" s="712"/>
      <c r="F23" s="712"/>
      <c r="G23" s="713"/>
      <c r="H23" s="699"/>
      <c r="I23" s="700"/>
      <c r="J23" s="700"/>
      <c r="K23" s="700"/>
      <c r="R23" s="711"/>
      <c r="S23" s="712"/>
      <c r="T23" s="712"/>
      <c r="U23" s="712"/>
      <c r="V23" s="713"/>
      <c r="W23" s="711"/>
      <c r="X23" s="712"/>
      <c r="Y23" s="712"/>
      <c r="Z23" s="712"/>
      <c r="AA23" s="713"/>
      <c r="AB23" s="711"/>
      <c r="AC23" s="712"/>
      <c r="AD23" s="712"/>
      <c r="AE23" s="712"/>
      <c r="AF23" s="713"/>
      <c r="AG23" s="699"/>
      <c r="AH23" s="700"/>
      <c r="AI23" s="700"/>
      <c r="AJ23" s="700"/>
      <c r="AK23" s="15"/>
    </row>
    <row r="24" spans="2:37" ht="18" customHeight="1" thickBot="1">
      <c r="B24" s="14"/>
      <c r="C24" s="714"/>
      <c r="D24" s="715"/>
      <c r="E24" s="715"/>
      <c r="F24" s="715"/>
      <c r="G24" s="716"/>
      <c r="H24" s="699"/>
      <c r="I24" s="700"/>
      <c r="J24" s="700"/>
      <c r="K24" s="700"/>
      <c r="R24" s="714"/>
      <c r="S24" s="715"/>
      <c r="T24" s="715"/>
      <c r="U24" s="715"/>
      <c r="V24" s="716"/>
      <c r="W24" s="714"/>
      <c r="X24" s="715"/>
      <c r="Y24" s="715"/>
      <c r="Z24" s="715"/>
      <c r="AA24" s="716"/>
      <c r="AB24" s="714"/>
      <c r="AC24" s="715"/>
      <c r="AD24" s="715"/>
      <c r="AE24" s="715"/>
      <c r="AF24" s="716"/>
      <c r="AG24" s="699"/>
      <c r="AH24" s="700"/>
      <c r="AI24" s="700"/>
      <c r="AJ24" s="700"/>
      <c r="AK24" s="15"/>
    </row>
    <row r="25" spans="2:37" ht="18" customHeight="1">
      <c r="B25" s="14"/>
      <c r="C25" s="708"/>
      <c r="D25" s="709"/>
      <c r="E25" s="709"/>
      <c r="F25" s="709"/>
      <c r="G25" s="710"/>
      <c r="H25" s="699"/>
      <c r="I25" s="700"/>
      <c r="J25" s="700"/>
      <c r="K25" s="700"/>
      <c r="R25" s="708"/>
      <c r="S25" s="709"/>
      <c r="T25" s="709"/>
      <c r="U25" s="709"/>
      <c r="V25" s="710"/>
      <c r="W25" s="708"/>
      <c r="X25" s="709"/>
      <c r="Y25" s="709"/>
      <c r="Z25" s="709"/>
      <c r="AA25" s="710"/>
      <c r="AB25" s="708"/>
      <c r="AC25" s="709"/>
      <c r="AD25" s="709"/>
      <c r="AE25" s="709"/>
      <c r="AF25" s="710"/>
      <c r="AG25" s="699"/>
      <c r="AH25" s="700"/>
      <c r="AI25" s="700"/>
      <c r="AJ25" s="700"/>
      <c r="AK25" s="15"/>
    </row>
    <row r="26" spans="2:37" ht="18" customHeight="1">
      <c r="B26" s="14"/>
      <c r="C26" s="711"/>
      <c r="D26" s="712"/>
      <c r="E26" s="712"/>
      <c r="F26" s="712"/>
      <c r="G26" s="713"/>
      <c r="H26" s="699"/>
      <c r="I26" s="700"/>
      <c r="J26" s="700"/>
      <c r="K26" s="700"/>
      <c r="R26" s="711"/>
      <c r="S26" s="712"/>
      <c r="T26" s="712"/>
      <c r="U26" s="712"/>
      <c r="V26" s="713"/>
      <c r="W26" s="711"/>
      <c r="X26" s="712"/>
      <c r="Y26" s="712"/>
      <c r="Z26" s="712"/>
      <c r="AA26" s="713"/>
      <c r="AB26" s="711"/>
      <c r="AC26" s="712"/>
      <c r="AD26" s="712"/>
      <c r="AE26" s="712"/>
      <c r="AF26" s="713"/>
      <c r="AG26" s="699"/>
      <c r="AH26" s="700"/>
      <c r="AI26" s="700"/>
      <c r="AJ26" s="700"/>
      <c r="AK26" s="15"/>
    </row>
    <row r="27" spans="2:37" ht="18" customHeight="1" thickBot="1">
      <c r="B27" s="14"/>
      <c r="C27" s="714"/>
      <c r="D27" s="715"/>
      <c r="E27" s="715"/>
      <c r="F27" s="715"/>
      <c r="G27" s="716"/>
      <c r="H27" s="699"/>
      <c r="I27" s="700"/>
      <c r="J27" s="700"/>
      <c r="K27" s="700"/>
      <c r="R27" s="714"/>
      <c r="S27" s="715"/>
      <c r="T27" s="715"/>
      <c r="U27" s="715"/>
      <c r="V27" s="716"/>
      <c r="W27" s="714"/>
      <c r="X27" s="715"/>
      <c r="Y27" s="715"/>
      <c r="Z27" s="715"/>
      <c r="AA27" s="716"/>
      <c r="AB27" s="714"/>
      <c r="AC27" s="715"/>
      <c r="AD27" s="715"/>
      <c r="AE27" s="715"/>
      <c r="AF27" s="716"/>
      <c r="AG27" s="699"/>
      <c r="AH27" s="700"/>
      <c r="AI27" s="700"/>
      <c r="AJ27" s="700"/>
      <c r="AK27" s="15"/>
    </row>
    <row r="28" spans="2:37" ht="18" customHeight="1">
      <c r="B28" s="14"/>
      <c r="C28" s="701" t="str">
        <f>"Breite &gt; "&amp;ROUNDUP(2*_Modul_Randabstand+0*_Modul_Spaltenabstand+1*_Modullänge_Standard,1)&amp;" m"</f>
        <v>Breite &gt; 2.2 m</v>
      </c>
      <c r="D28" s="701"/>
      <c r="E28" s="701"/>
      <c r="F28" s="701"/>
      <c r="G28" s="701"/>
      <c r="R28" s="701" t="str">
        <f>"Breite &gt; "&amp;ROUNDUP(2*_Modul_Randabstand+2*_Modul_Spaltenabstand+3*_Modullänge_Standard,1)&amp;" m"</f>
        <v>Breite &gt; 5.9 m</v>
      </c>
      <c r="S28" s="701"/>
      <c r="T28" s="701"/>
      <c r="U28" s="701"/>
      <c r="V28" s="701"/>
      <c r="W28" s="701"/>
      <c r="X28" s="701"/>
      <c r="Y28" s="701"/>
      <c r="Z28" s="701"/>
      <c r="AA28" s="701"/>
      <c r="AB28" s="701"/>
      <c r="AC28" s="701"/>
      <c r="AD28" s="701"/>
      <c r="AE28" s="701"/>
      <c r="AF28" s="701"/>
      <c r="AK28" s="15"/>
    </row>
    <row r="29" spans="2:37" ht="18" customHeight="1">
      <c r="B29" s="14"/>
      <c r="AK29" s="15"/>
    </row>
    <row r="30" spans="2:37" ht="18" customHeight="1" thickBot="1">
      <c r="B30" s="14"/>
      <c r="AK30" s="15"/>
    </row>
    <row r="31" spans="2:37" ht="18" customHeight="1">
      <c r="B31" s="14"/>
      <c r="C31" s="708"/>
      <c r="D31" s="709"/>
      <c r="E31" s="709"/>
      <c r="F31" s="709"/>
      <c r="G31" s="710"/>
      <c r="H31" s="708"/>
      <c r="I31" s="709"/>
      <c r="J31" s="709"/>
      <c r="K31" s="709"/>
      <c r="L31" s="710"/>
      <c r="M31" s="708"/>
      <c r="N31" s="709"/>
      <c r="O31" s="709"/>
      <c r="P31" s="709"/>
      <c r="Q31" s="710"/>
      <c r="R31" s="708"/>
      <c r="S31" s="709"/>
      <c r="T31" s="709"/>
      <c r="U31" s="709"/>
      <c r="V31" s="710"/>
      <c r="W31" s="708"/>
      <c r="X31" s="709"/>
      <c r="Y31" s="709"/>
      <c r="Z31" s="709"/>
      <c r="AA31" s="710"/>
      <c r="AB31" s="708"/>
      <c r="AC31" s="709"/>
      <c r="AD31" s="709"/>
      <c r="AE31" s="709"/>
      <c r="AF31" s="710"/>
      <c r="AG31" s="702" t="str">
        <f>"Höhe &gt; "&amp;ROUNDUP(2*_Modul_Randabstand+0*_Modul_Zeilenabstand+1*_Modulbreite_Standard,1)&amp;" m"</f>
        <v>Höhe &gt; 1.6 m</v>
      </c>
      <c r="AH31" s="703"/>
      <c r="AI31" s="703"/>
      <c r="AJ31" s="703"/>
      <c r="AK31" s="15"/>
    </row>
    <row r="32" spans="2:37" ht="18" customHeight="1">
      <c r="B32" s="14"/>
      <c r="C32" s="711"/>
      <c r="D32" s="712"/>
      <c r="E32" s="712"/>
      <c r="F32" s="712"/>
      <c r="G32" s="713"/>
      <c r="H32" s="711"/>
      <c r="I32" s="712"/>
      <c r="J32" s="712"/>
      <c r="K32" s="712"/>
      <c r="L32" s="713"/>
      <c r="M32" s="711"/>
      <c r="N32" s="712"/>
      <c r="O32" s="712"/>
      <c r="P32" s="712"/>
      <c r="Q32" s="713"/>
      <c r="R32" s="711"/>
      <c r="S32" s="712"/>
      <c r="T32" s="712"/>
      <c r="U32" s="712"/>
      <c r="V32" s="713"/>
      <c r="W32" s="711"/>
      <c r="X32" s="712"/>
      <c r="Y32" s="712"/>
      <c r="Z32" s="712"/>
      <c r="AA32" s="713"/>
      <c r="AB32" s="711"/>
      <c r="AC32" s="712"/>
      <c r="AD32" s="712"/>
      <c r="AE32" s="712"/>
      <c r="AF32" s="713"/>
      <c r="AG32" s="702"/>
      <c r="AH32" s="703"/>
      <c r="AI32" s="703"/>
      <c r="AJ32" s="703"/>
      <c r="AK32" s="15"/>
    </row>
    <row r="33" spans="2:37" ht="18" customHeight="1" thickBot="1">
      <c r="B33" s="14"/>
      <c r="C33" s="714"/>
      <c r="D33" s="715"/>
      <c r="E33" s="715"/>
      <c r="F33" s="715"/>
      <c r="G33" s="716"/>
      <c r="H33" s="714"/>
      <c r="I33" s="715"/>
      <c r="J33" s="715"/>
      <c r="K33" s="715"/>
      <c r="L33" s="716"/>
      <c r="M33" s="714"/>
      <c r="N33" s="715"/>
      <c r="O33" s="715"/>
      <c r="P33" s="715"/>
      <c r="Q33" s="716"/>
      <c r="R33" s="714"/>
      <c r="S33" s="715"/>
      <c r="T33" s="715"/>
      <c r="U33" s="715"/>
      <c r="V33" s="716"/>
      <c r="W33" s="714"/>
      <c r="X33" s="715"/>
      <c r="Y33" s="715"/>
      <c r="Z33" s="715"/>
      <c r="AA33" s="716"/>
      <c r="AB33" s="714"/>
      <c r="AC33" s="715"/>
      <c r="AD33" s="715"/>
      <c r="AE33" s="715"/>
      <c r="AF33" s="716"/>
      <c r="AG33" s="702"/>
      <c r="AH33" s="703"/>
      <c r="AI33" s="703"/>
      <c r="AJ33" s="703"/>
      <c r="AK33" s="15"/>
    </row>
    <row r="34" spans="2:37" ht="18" customHeight="1">
      <c r="B34" s="14"/>
      <c r="C34" s="701" t="str">
        <f>"Breite &gt; "&amp;ROUNDUP(2*_Modul_Randabstand+5*_Modul_Spaltenabstand+6*_Modullänge_Standard,1)&amp;" m"</f>
        <v>Breite &gt; 11.3 m</v>
      </c>
      <c r="D34" s="701"/>
      <c r="E34" s="701"/>
      <c r="F34" s="701"/>
      <c r="G34" s="701"/>
      <c r="H34" s="701"/>
      <c r="I34" s="701"/>
      <c r="J34" s="701"/>
      <c r="K34" s="701"/>
      <c r="L34" s="701"/>
      <c r="M34" s="701"/>
      <c r="N34" s="701"/>
      <c r="O34" s="701"/>
      <c r="P34" s="701"/>
      <c r="Q34" s="701"/>
      <c r="R34" s="701"/>
      <c r="S34" s="701"/>
      <c r="T34" s="701"/>
      <c r="U34" s="701"/>
      <c r="V34" s="701"/>
      <c r="W34" s="701"/>
      <c r="X34" s="701"/>
      <c r="Y34" s="701"/>
      <c r="Z34" s="701"/>
      <c r="AA34" s="701"/>
      <c r="AB34" s="701"/>
      <c r="AC34" s="701"/>
      <c r="AD34" s="701"/>
      <c r="AE34" s="701"/>
      <c r="AF34" s="701"/>
      <c r="AK34" s="15"/>
    </row>
    <row r="35" spans="2:37" ht="18" customHeight="1" thickBot="1">
      <c r="B35" s="16"/>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17"/>
    </row>
    <row r="36" spans="2:37" ht="18" customHeight="1" thickBot="1"/>
    <row r="37" spans="2:37" ht="25.5" customHeight="1">
      <c r="B37" s="705" t="s">
        <v>82</v>
      </c>
      <c r="C37" s="706"/>
      <c r="D37" s="706"/>
      <c r="E37" s="706"/>
      <c r="F37" s="706"/>
      <c r="G37" s="706"/>
      <c r="H37" s="706"/>
      <c r="I37" s="706"/>
      <c r="J37" s="706"/>
      <c r="K37" s="706"/>
      <c r="L37" s="706"/>
      <c r="M37" s="706"/>
      <c r="N37" s="706"/>
      <c r="O37" s="706"/>
      <c r="P37" s="706"/>
      <c r="Q37" s="706"/>
      <c r="R37" s="706"/>
      <c r="S37" s="706"/>
      <c r="T37" s="706"/>
      <c r="U37" s="706"/>
      <c r="V37" s="706"/>
      <c r="W37" s="706"/>
      <c r="X37" s="706"/>
      <c r="Y37" s="706"/>
      <c r="Z37" s="706"/>
      <c r="AA37" s="706"/>
      <c r="AB37" s="706"/>
      <c r="AC37" s="706"/>
      <c r="AD37" s="706"/>
      <c r="AE37" s="706"/>
      <c r="AF37" s="706"/>
      <c r="AG37" s="706"/>
      <c r="AH37" s="706"/>
      <c r="AI37" s="706"/>
      <c r="AJ37" s="706"/>
      <c r="AK37" s="707"/>
    </row>
    <row r="38" spans="2:37" ht="18" customHeight="1" thickBot="1">
      <c r="B38" s="24"/>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6"/>
    </row>
    <row r="39" spans="2:37" ht="18" customHeight="1">
      <c r="B39" s="14"/>
      <c r="C39" s="708"/>
      <c r="D39" s="709"/>
      <c r="E39" s="710"/>
      <c r="F39" s="702" t="str">
        <f>"Höhe &gt; "&amp;ROUNDUP(2*_Modul_Randabstand+5*_Modul_Zeilenabstand+6*_Modullänge_Standard,1)&amp;" m"</f>
        <v>Höhe &gt; 11.3 m</v>
      </c>
      <c r="G39" s="703"/>
      <c r="H39" s="703"/>
      <c r="I39" s="703"/>
      <c r="L39" s="708"/>
      <c r="M39" s="709"/>
      <c r="N39" s="710"/>
      <c r="O39" s="708"/>
      <c r="P39" s="709"/>
      <c r="Q39" s="710"/>
      <c r="R39" s="702" t="str">
        <f>"Höhe &gt; "&amp;ROUNDUP(2*_Modul_Randabstand+2*_Modul_Zeilenabstand+3*_Modullänge_Standard,1)&amp;" m"</f>
        <v>Höhe &gt; 5.9 m</v>
      </c>
      <c r="S39" s="703"/>
      <c r="T39" s="703"/>
      <c r="U39" s="703"/>
      <c r="X39" s="708"/>
      <c r="Y39" s="709"/>
      <c r="Z39" s="710"/>
      <c r="AA39" s="708"/>
      <c r="AB39" s="709"/>
      <c r="AC39" s="710"/>
      <c r="AD39" s="708"/>
      <c r="AE39" s="709"/>
      <c r="AF39" s="710"/>
      <c r="AG39" s="702" t="str">
        <f>"Höhe &gt; "&amp;ROUNDUP(2*_Modul_Randabstand+1*_Modul_Zeilenabstand+2*_Modullänge_Standard,1)&amp;" m"</f>
        <v>Höhe &gt; 4.1 m</v>
      </c>
      <c r="AH39" s="703"/>
      <c r="AI39" s="703"/>
      <c r="AJ39" s="703"/>
      <c r="AK39" s="15"/>
    </row>
    <row r="40" spans="2:37" ht="18" customHeight="1">
      <c r="B40" s="14"/>
      <c r="C40" s="711"/>
      <c r="D40" s="712"/>
      <c r="E40" s="713"/>
      <c r="F40" s="702"/>
      <c r="G40" s="703"/>
      <c r="H40" s="703"/>
      <c r="I40" s="703"/>
      <c r="L40" s="711"/>
      <c r="M40" s="712"/>
      <c r="N40" s="713"/>
      <c r="O40" s="711"/>
      <c r="P40" s="712"/>
      <c r="Q40" s="713"/>
      <c r="R40" s="702"/>
      <c r="S40" s="703"/>
      <c r="T40" s="703"/>
      <c r="U40" s="703"/>
      <c r="X40" s="711"/>
      <c r="Y40" s="712"/>
      <c r="Z40" s="713"/>
      <c r="AA40" s="711"/>
      <c r="AB40" s="712"/>
      <c r="AC40" s="713"/>
      <c r="AD40" s="711"/>
      <c r="AE40" s="712"/>
      <c r="AF40" s="713"/>
      <c r="AG40" s="702"/>
      <c r="AH40" s="703"/>
      <c r="AI40" s="703"/>
      <c r="AJ40" s="703"/>
      <c r="AK40" s="15"/>
    </row>
    <row r="41" spans="2:37" ht="18" customHeight="1">
      <c r="B41" s="14"/>
      <c r="C41" s="711"/>
      <c r="D41" s="712"/>
      <c r="E41" s="713"/>
      <c r="F41" s="702"/>
      <c r="G41" s="703"/>
      <c r="H41" s="703"/>
      <c r="I41" s="703"/>
      <c r="L41" s="711"/>
      <c r="M41" s="712"/>
      <c r="N41" s="713"/>
      <c r="O41" s="711"/>
      <c r="P41" s="712"/>
      <c r="Q41" s="713"/>
      <c r="R41" s="702"/>
      <c r="S41" s="703"/>
      <c r="T41" s="703"/>
      <c r="U41" s="703"/>
      <c r="X41" s="711"/>
      <c r="Y41" s="712"/>
      <c r="Z41" s="713"/>
      <c r="AA41" s="711"/>
      <c r="AB41" s="712"/>
      <c r="AC41" s="713"/>
      <c r="AD41" s="711"/>
      <c r="AE41" s="712"/>
      <c r="AF41" s="713"/>
      <c r="AG41" s="702"/>
      <c r="AH41" s="703"/>
      <c r="AI41" s="703"/>
      <c r="AJ41" s="703"/>
      <c r="AK41" s="15"/>
    </row>
    <row r="42" spans="2:37" ht="18" customHeight="1">
      <c r="B42" s="14"/>
      <c r="C42" s="711"/>
      <c r="D42" s="712"/>
      <c r="E42" s="713"/>
      <c r="F42" s="702"/>
      <c r="G42" s="703"/>
      <c r="H42" s="703"/>
      <c r="I42" s="703"/>
      <c r="L42" s="711"/>
      <c r="M42" s="712"/>
      <c r="N42" s="713"/>
      <c r="O42" s="711"/>
      <c r="P42" s="712"/>
      <c r="Q42" s="713"/>
      <c r="R42" s="702"/>
      <c r="S42" s="703"/>
      <c r="T42" s="703"/>
      <c r="U42" s="703"/>
      <c r="X42" s="711"/>
      <c r="Y42" s="712"/>
      <c r="Z42" s="713"/>
      <c r="AA42" s="711"/>
      <c r="AB42" s="712"/>
      <c r="AC42" s="713"/>
      <c r="AD42" s="711"/>
      <c r="AE42" s="712"/>
      <c r="AF42" s="713"/>
      <c r="AG42" s="702"/>
      <c r="AH42" s="703"/>
      <c r="AI42" s="703"/>
      <c r="AJ42" s="703"/>
      <c r="AK42" s="15"/>
    </row>
    <row r="43" spans="2:37" ht="18" customHeight="1" thickBot="1">
      <c r="B43" s="14"/>
      <c r="C43" s="714"/>
      <c r="D43" s="715"/>
      <c r="E43" s="716"/>
      <c r="F43" s="702"/>
      <c r="G43" s="703"/>
      <c r="H43" s="703"/>
      <c r="I43" s="703"/>
      <c r="L43" s="714"/>
      <c r="M43" s="715"/>
      <c r="N43" s="716"/>
      <c r="O43" s="714"/>
      <c r="P43" s="715"/>
      <c r="Q43" s="716"/>
      <c r="R43" s="702"/>
      <c r="S43" s="703"/>
      <c r="T43" s="703"/>
      <c r="U43" s="703"/>
      <c r="X43" s="714"/>
      <c r="Y43" s="715"/>
      <c r="Z43" s="716"/>
      <c r="AA43" s="714"/>
      <c r="AB43" s="715"/>
      <c r="AC43" s="716"/>
      <c r="AD43" s="714"/>
      <c r="AE43" s="715"/>
      <c r="AF43" s="716"/>
      <c r="AG43" s="702"/>
      <c r="AH43" s="703"/>
      <c r="AI43" s="703"/>
      <c r="AJ43" s="703"/>
      <c r="AK43" s="15"/>
    </row>
    <row r="44" spans="2:37" ht="18" customHeight="1">
      <c r="B44" s="14"/>
      <c r="C44" s="708"/>
      <c r="D44" s="709"/>
      <c r="E44" s="710"/>
      <c r="F44" s="702"/>
      <c r="G44" s="703"/>
      <c r="H44" s="703"/>
      <c r="I44" s="703"/>
      <c r="L44" s="708"/>
      <c r="M44" s="709"/>
      <c r="N44" s="710"/>
      <c r="O44" s="708"/>
      <c r="P44" s="709"/>
      <c r="Q44" s="710"/>
      <c r="R44" s="702"/>
      <c r="S44" s="703"/>
      <c r="T44" s="703"/>
      <c r="U44" s="703"/>
      <c r="X44" s="708"/>
      <c r="Y44" s="709"/>
      <c r="Z44" s="710"/>
      <c r="AA44" s="708"/>
      <c r="AB44" s="709"/>
      <c r="AC44" s="710"/>
      <c r="AD44" s="708"/>
      <c r="AE44" s="709"/>
      <c r="AF44" s="710"/>
      <c r="AG44" s="702"/>
      <c r="AH44" s="703"/>
      <c r="AI44" s="703"/>
      <c r="AJ44" s="703"/>
      <c r="AK44" s="15"/>
    </row>
    <row r="45" spans="2:37" ht="18" customHeight="1">
      <c r="B45" s="14"/>
      <c r="C45" s="711"/>
      <c r="D45" s="712"/>
      <c r="E45" s="713"/>
      <c r="F45" s="702"/>
      <c r="G45" s="703"/>
      <c r="H45" s="703"/>
      <c r="I45" s="703"/>
      <c r="L45" s="711"/>
      <c r="M45" s="712"/>
      <c r="N45" s="713"/>
      <c r="O45" s="711"/>
      <c r="P45" s="712"/>
      <c r="Q45" s="713"/>
      <c r="R45" s="702"/>
      <c r="S45" s="703"/>
      <c r="T45" s="703"/>
      <c r="U45" s="703"/>
      <c r="X45" s="711"/>
      <c r="Y45" s="712"/>
      <c r="Z45" s="713"/>
      <c r="AA45" s="711"/>
      <c r="AB45" s="712"/>
      <c r="AC45" s="713"/>
      <c r="AD45" s="711"/>
      <c r="AE45" s="712"/>
      <c r="AF45" s="713"/>
      <c r="AG45" s="702"/>
      <c r="AH45" s="703"/>
      <c r="AI45" s="703"/>
      <c r="AJ45" s="703"/>
      <c r="AK45" s="15"/>
    </row>
    <row r="46" spans="2:37" ht="18" customHeight="1">
      <c r="B46" s="14"/>
      <c r="C46" s="711"/>
      <c r="D46" s="712"/>
      <c r="E46" s="713"/>
      <c r="F46" s="702"/>
      <c r="G46" s="703"/>
      <c r="H46" s="703"/>
      <c r="I46" s="703"/>
      <c r="L46" s="711"/>
      <c r="M46" s="712"/>
      <c r="N46" s="713"/>
      <c r="O46" s="711"/>
      <c r="P46" s="712"/>
      <c r="Q46" s="713"/>
      <c r="R46" s="702"/>
      <c r="S46" s="703"/>
      <c r="T46" s="703"/>
      <c r="U46" s="703"/>
      <c r="X46" s="711"/>
      <c r="Y46" s="712"/>
      <c r="Z46" s="713"/>
      <c r="AA46" s="711"/>
      <c r="AB46" s="712"/>
      <c r="AC46" s="713"/>
      <c r="AD46" s="711"/>
      <c r="AE46" s="712"/>
      <c r="AF46" s="713"/>
      <c r="AG46" s="702"/>
      <c r="AH46" s="703"/>
      <c r="AI46" s="703"/>
      <c r="AJ46" s="703"/>
      <c r="AK46" s="15"/>
    </row>
    <row r="47" spans="2:37" ht="18" customHeight="1">
      <c r="B47" s="14"/>
      <c r="C47" s="711"/>
      <c r="D47" s="712"/>
      <c r="E47" s="713"/>
      <c r="F47" s="702"/>
      <c r="G47" s="703"/>
      <c r="H47" s="703"/>
      <c r="I47" s="703"/>
      <c r="L47" s="711"/>
      <c r="M47" s="712"/>
      <c r="N47" s="713"/>
      <c r="O47" s="711"/>
      <c r="P47" s="712"/>
      <c r="Q47" s="713"/>
      <c r="R47" s="702"/>
      <c r="S47" s="703"/>
      <c r="T47" s="703"/>
      <c r="U47" s="703"/>
      <c r="X47" s="711"/>
      <c r="Y47" s="712"/>
      <c r="Z47" s="713"/>
      <c r="AA47" s="711"/>
      <c r="AB47" s="712"/>
      <c r="AC47" s="713"/>
      <c r="AD47" s="711"/>
      <c r="AE47" s="712"/>
      <c r="AF47" s="713"/>
      <c r="AG47" s="702"/>
      <c r="AH47" s="703"/>
      <c r="AI47" s="703"/>
      <c r="AJ47" s="703"/>
      <c r="AK47" s="15"/>
    </row>
    <row r="48" spans="2:37" ht="18" customHeight="1" thickBot="1">
      <c r="B48" s="14"/>
      <c r="C48" s="714"/>
      <c r="D48" s="715"/>
      <c r="E48" s="716"/>
      <c r="F48" s="702"/>
      <c r="G48" s="703"/>
      <c r="H48" s="703"/>
      <c r="I48" s="703"/>
      <c r="L48" s="714"/>
      <c r="M48" s="715"/>
      <c r="N48" s="716"/>
      <c r="O48" s="714"/>
      <c r="P48" s="715"/>
      <c r="Q48" s="716"/>
      <c r="R48" s="702"/>
      <c r="S48" s="703"/>
      <c r="T48" s="703"/>
      <c r="U48" s="703"/>
      <c r="X48" s="714"/>
      <c r="Y48" s="715"/>
      <c r="Z48" s="716"/>
      <c r="AA48" s="714"/>
      <c r="AB48" s="715"/>
      <c r="AC48" s="716"/>
      <c r="AD48" s="714"/>
      <c r="AE48" s="715"/>
      <c r="AF48" s="716"/>
      <c r="AG48" s="702"/>
      <c r="AH48" s="703"/>
      <c r="AI48" s="703"/>
      <c r="AJ48" s="703"/>
      <c r="AK48" s="15"/>
    </row>
    <row r="49" spans="2:37" ht="18" customHeight="1">
      <c r="B49" s="14"/>
      <c r="C49" s="708"/>
      <c r="D49" s="709"/>
      <c r="E49" s="710"/>
      <c r="F49" s="702"/>
      <c r="G49" s="703"/>
      <c r="H49" s="703"/>
      <c r="I49" s="703"/>
      <c r="L49" s="708"/>
      <c r="M49" s="709"/>
      <c r="N49" s="710"/>
      <c r="O49" s="708"/>
      <c r="P49" s="709"/>
      <c r="Q49" s="710"/>
      <c r="R49" s="702"/>
      <c r="S49" s="703"/>
      <c r="T49" s="703"/>
      <c r="U49" s="703"/>
      <c r="X49" s="704" t="str">
        <f>"B &gt; "&amp;ROUNDUP(2*_Modul_Randabstand+2*_Modul_Spaltenabstand+3*_Modulbreite_Standard,1)&amp;" m"</f>
        <v>B &gt; 3.9 m</v>
      </c>
      <c r="Y49" s="704"/>
      <c r="Z49" s="704"/>
      <c r="AA49" s="704"/>
      <c r="AB49" s="704"/>
      <c r="AC49" s="704"/>
      <c r="AD49" s="704"/>
      <c r="AE49" s="704"/>
      <c r="AF49" s="704"/>
      <c r="AK49" s="15"/>
    </row>
    <row r="50" spans="2:37" ht="18" customHeight="1">
      <c r="B50" s="14"/>
      <c r="C50" s="711"/>
      <c r="D50" s="712"/>
      <c r="E50" s="713"/>
      <c r="F50" s="702"/>
      <c r="G50" s="703"/>
      <c r="H50" s="703"/>
      <c r="I50" s="703"/>
      <c r="L50" s="711"/>
      <c r="M50" s="712"/>
      <c r="N50" s="713"/>
      <c r="O50" s="711"/>
      <c r="P50" s="712"/>
      <c r="Q50" s="713"/>
      <c r="R50" s="702"/>
      <c r="S50" s="703"/>
      <c r="T50" s="703"/>
      <c r="U50" s="703"/>
      <c r="AK50" s="15"/>
    </row>
    <row r="51" spans="2:37" ht="18" customHeight="1">
      <c r="B51" s="14"/>
      <c r="C51" s="711"/>
      <c r="D51" s="712"/>
      <c r="E51" s="713"/>
      <c r="F51" s="702"/>
      <c r="G51" s="703"/>
      <c r="H51" s="703"/>
      <c r="I51" s="703"/>
      <c r="L51" s="711"/>
      <c r="M51" s="712"/>
      <c r="N51" s="713"/>
      <c r="O51" s="711"/>
      <c r="P51" s="712"/>
      <c r="Q51" s="713"/>
      <c r="R51" s="702"/>
      <c r="S51" s="703"/>
      <c r="T51" s="703"/>
      <c r="U51" s="703"/>
      <c r="AK51" s="15"/>
    </row>
    <row r="52" spans="2:37" ht="18" customHeight="1">
      <c r="B52" s="14"/>
      <c r="C52" s="711"/>
      <c r="D52" s="712"/>
      <c r="E52" s="713"/>
      <c r="F52" s="702"/>
      <c r="G52" s="703"/>
      <c r="H52" s="703"/>
      <c r="I52" s="703"/>
      <c r="L52" s="711"/>
      <c r="M52" s="712"/>
      <c r="N52" s="713"/>
      <c r="O52" s="711"/>
      <c r="P52" s="712"/>
      <c r="Q52" s="713"/>
      <c r="R52" s="702"/>
      <c r="S52" s="703"/>
      <c r="T52" s="703"/>
      <c r="U52" s="703"/>
      <c r="AK52" s="15"/>
    </row>
    <row r="53" spans="2:37" ht="18" customHeight="1" thickBot="1">
      <c r="B53" s="14"/>
      <c r="C53" s="714"/>
      <c r="D53" s="715"/>
      <c r="E53" s="716"/>
      <c r="F53" s="702"/>
      <c r="G53" s="703"/>
      <c r="H53" s="703"/>
      <c r="I53" s="703"/>
      <c r="L53" s="714"/>
      <c r="M53" s="715"/>
      <c r="N53" s="716"/>
      <c r="O53" s="714"/>
      <c r="P53" s="715"/>
      <c r="Q53" s="716"/>
      <c r="R53" s="702"/>
      <c r="S53" s="703"/>
      <c r="T53" s="703"/>
      <c r="U53" s="703"/>
      <c r="AK53" s="15"/>
    </row>
    <row r="54" spans="2:37" ht="18" customHeight="1">
      <c r="B54" s="14"/>
      <c r="C54" s="708"/>
      <c r="D54" s="709"/>
      <c r="E54" s="710"/>
      <c r="F54" s="702"/>
      <c r="G54" s="703"/>
      <c r="H54" s="703"/>
      <c r="I54" s="703"/>
      <c r="L54" s="704" t="str">
        <f>"B &gt; "&amp;ROUNDUP(2*_Modul_Randabstand+1*_Modul_Spaltenabstand+2*_Modulbreite_Standard,1)&amp;" m"</f>
        <v>B &gt; 2.7 m</v>
      </c>
      <c r="M54" s="704"/>
      <c r="N54" s="704"/>
      <c r="O54" s="704"/>
      <c r="P54" s="704"/>
      <c r="Q54" s="704"/>
      <c r="AK54" s="15"/>
    </row>
    <row r="55" spans="2:37" ht="18" customHeight="1">
      <c r="B55" s="14"/>
      <c r="C55" s="711"/>
      <c r="D55" s="712"/>
      <c r="E55" s="713"/>
      <c r="F55" s="702"/>
      <c r="G55" s="703"/>
      <c r="H55" s="703"/>
      <c r="I55" s="703"/>
      <c r="AK55" s="15"/>
    </row>
    <row r="56" spans="2:37" ht="18" customHeight="1">
      <c r="B56" s="14"/>
      <c r="C56" s="711"/>
      <c r="D56" s="712"/>
      <c r="E56" s="713"/>
      <c r="F56" s="702"/>
      <c r="G56" s="703"/>
      <c r="H56" s="703"/>
      <c r="I56" s="703"/>
      <c r="AK56" s="15"/>
    </row>
    <row r="57" spans="2:37" ht="18" customHeight="1">
      <c r="B57" s="14"/>
      <c r="C57" s="711"/>
      <c r="D57" s="712"/>
      <c r="E57" s="713"/>
      <c r="F57" s="702"/>
      <c r="G57" s="703"/>
      <c r="H57" s="703"/>
      <c r="I57" s="703"/>
      <c r="AK57" s="15"/>
    </row>
    <row r="58" spans="2:37" ht="18" customHeight="1" thickBot="1">
      <c r="B58" s="14"/>
      <c r="C58" s="714"/>
      <c r="D58" s="715"/>
      <c r="E58" s="716"/>
      <c r="F58" s="702"/>
      <c r="G58" s="703"/>
      <c r="H58" s="703"/>
      <c r="I58" s="703"/>
      <c r="AK58" s="15"/>
    </row>
    <row r="59" spans="2:37" ht="18" customHeight="1">
      <c r="B59" s="14"/>
      <c r="C59" s="708"/>
      <c r="D59" s="709"/>
      <c r="E59" s="710"/>
      <c r="F59" s="702"/>
      <c r="G59" s="703"/>
      <c r="H59" s="703"/>
      <c r="I59" s="703"/>
      <c r="AK59" s="15"/>
    </row>
    <row r="60" spans="2:37" ht="18" customHeight="1">
      <c r="B60" s="14"/>
      <c r="C60" s="711"/>
      <c r="D60" s="712"/>
      <c r="E60" s="713"/>
      <c r="F60" s="702"/>
      <c r="G60" s="703"/>
      <c r="H60" s="703"/>
      <c r="I60" s="703"/>
      <c r="AK60" s="15"/>
    </row>
    <row r="61" spans="2:37" ht="18" customHeight="1">
      <c r="B61" s="14"/>
      <c r="C61" s="711"/>
      <c r="D61" s="712"/>
      <c r="E61" s="713"/>
      <c r="F61" s="702"/>
      <c r="G61" s="703"/>
      <c r="H61" s="703"/>
      <c r="I61" s="703"/>
      <c r="AK61" s="15"/>
    </row>
    <row r="62" spans="2:37" ht="18" customHeight="1">
      <c r="B62" s="14"/>
      <c r="C62" s="711"/>
      <c r="D62" s="712"/>
      <c r="E62" s="713"/>
      <c r="F62" s="702"/>
      <c r="G62" s="703"/>
      <c r="H62" s="703"/>
      <c r="I62" s="703"/>
      <c r="AK62" s="15"/>
    </row>
    <row r="63" spans="2:37" ht="18" customHeight="1" thickBot="1">
      <c r="B63" s="14"/>
      <c r="C63" s="714"/>
      <c r="D63" s="715"/>
      <c r="E63" s="716"/>
      <c r="F63" s="702"/>
      <c r="G63" s="703"/>
      <c r="H63" s="703"/>
      <c r="I63" s="703"/>
      <c r="AK63" s="15"/>
    </row>
    <row r="64" spans="2:37" ht="18" customHeight="1">
      <c r="B64" s="14"/>
      <c r="C64" s="708"/>
      <c r="D64" s="709"/>
      <c r="E64" s="710"/>
      <c r="F64" s="702"/>
      <c r="G64" s="703"/>
      <c r="H64" s="703"/>
      <c r="I64" s="703"/>
      <c r="O64" s="708"/>
      <c r="P64" s="709"/>
      <c r="Q64" s="710"/>
      <c r="R64" s="708"/>
      <c r="S64" s="709"/>
      <c r="T64" s="710"/>
      <c r="U64" s="708"/>
      <c r="V64" s="709"/>
      <c r="W64" s="710"/>
      <c r="X64" s="708"/>
      <c r="Y64" s="709"/>
      <c r="Z64" s="710"/>
      <c r="AA64" s="708"/>
      <c r="AB64" s="709"/>
      <c r="AC64" s="710"/>
      <c r="AD64" s="708"/>
      <c r="AE64" s="709"/>
      <c r="AF64" s="710"/>
      <c r="AG64" s="699" t="str">
        <f>"Höhe &gt; "&amp;ROUNDUP(2*_Modul_Randabstand+0*_Modul_Zeilenabstand+1*_Modullänge_Standard,1)&amp;" m"</f>
        <v>Höhe &gt; 2.2 m</v>
      </c>
      <c r="AH64" s="700"/>
      <c r="AI64" s="700"/>
      <c r="AJ64" s="700"/>
      <c r="AK64" s="15"/>
    </row>
    <row r="65" spans="2:37" ht="18" customHeight="1">
      <c r="B65" s="8"/>
      <c r="C65" s="711"/>
      <c r="D65" s="712"/>
      <c r="E65" s="713"/>
      <c r="F65" s="702"/>
      <c r="G65" s="703"/>
      <c r="H65" s="703"/>
      <c r="I65" s="703"/>
      <c r="O65" s="711"/>
      <c r="P65" s="712"/>
      <c r="Q65" s="713"/>
      <c r="R65" s="711"/>
      <c r="S65" s="712"/>
      <c r="T65" s="713"/>
      <c r="U65" s="711"/>
      <c r="V65" s="712"/>
      <c r="W65" s="713"/>
      <c r="X65" s="711"/>
      <c r="Y65" s="712"/>
      <c r="Z65" s="713"/>
      <c r="AA65" s="711"/>
      <c r="AB65" s="712"/>
      <c r="AC65" s="713"/>
      <c r="AD65" s="711"/>
      <c r="AE65" s="712"/>
      <c r="AF65" s="713"/>
      <c r="AG65" s="699"/>
      <c r="AH65" s="700"/>
      <c r="AI65" s="700"/>
      <c r="AJ65" s="700"/>
      <c r="AK65" s="15"/>
    </row>
    <row r="66" spans="2:37" ht="18" customHeight="1">
      <c r="B66" s="14"/>
      <c r="C66" s="711"/>
      <c r="D66" s="712"/>
      <c r="E66" s="713"/>
      <c r="F66" s="702"/>
      <c r="G66" s="703"/>
      <c r="H66" s="703"/>
      <c r="I66" s="703"/>
      <c r="O66" s="711"/>
      <c r="P66" s="712"/>
      <c r="Q66" s="713"/>
      <c r="R66" s="711"/>
      <c r="S66" s="712"/>
      <c r="T66" s="713"/>
      <c r="U66" s="711"/>
      <c r="V66" s="712"/>
      <c r="W66" s="713"/>
      <c r="X66" s="711"/>
      <c r="Y66" s="712"/>
      <c r="Z66" s="713"/>
      <c r="AA66" s="711"/>
      <c r="AB66" s="712"/>
      <c r="AC66" s="713"/>
      <c r="AD66" s="711"/>
      <c r="AE66" s="712"/>
      <c r="AF66" s="713"/>
      <c r="AG66" s="699"/>
      <c r="AH66" s="700"/>
      <c r="AI66" s="700"/>
      <c r="AJ66" s="700"/>
      <c r="AK66" s="15"/>
    </row>
    <row r="67" spans="2:37" ht="18" customHeight="1">
      <c r="B67" s="14"/>
      <c r="C67" s="711"/>
      <c r="D67" s="712"/>
      <c r="E67" s="713"/>
      <c r="F67" s="702"/>
      <c r="G67" s="703"/>
      <c r="H67" s="703"/>
      <c r="I67" s="703"/>
      <c r="O67" s="711"/>
      <c r="P67" s="712"/>
      <c r="Q67" s="713"/>
      <c r="R67" s="711"/>
      <c r="S67" s="712"/>
      <c r="T67" s="713"/>
      <c r="U67" s="711"/>
      <c r="V67" s="712"/>
      <c r="W67" s="713"/>
      <c r="X67" s="711"/>
      <c r="Y67" s="712"/>
      <c r="Z67" s="713"/>
      <c r="AA67" s="711"/>
      <c r="AB67" s="712"/>
      <c r="AC67" s="713"/>
      <c r="AD67" s="711"/>
      <c r="AE67" s="712"/>
      <c r="AF67" s="713"/>
      <c r="AG67" s="699"/>
      <c r="AH67" s="700"/>
      <c r="AI67" s="700"/>
      <c r="AJ67" s="700"/>
      <c r="AK67" s="15"/>
    </row>
    <row r="68" spans="2:37" ht="18" customHeight="1" thickBot="1">
      <c r="B68" s="14"/>
      <c r="C68" s="714"/>
      <c r="D68" s="715"/>
      <c r="E68" s="716"/>
      <c r="F68" s="702"/>
      <c r="G68" s="703"/>
      <c r="H68" s="703"/>
      <c r="I68" s="703"/>
      <c r="O68" s="714"/>
      <c r="P68" s="715"/>
      <c r="Q68" s="716"/>
      <c r="R68" s="714"/>
      <c r="S68" s="715"/>
      <c r="T68" s="716"/>
      <c r="U68" s="714"/>
      <c r="V68" s="715"/>
      <c r="W68" s="716"/>
      <c r="X68" s="714"/>
      <c r="Y68" s="715"/>
      <c r="Z68" s="716"/>
      <c r="AA68" s="714"/>
      <c r="AB68" s="715"/>
      <c r="AC68" s="716"/>
      <c r="AD68" s="714"/>
      <c r="AE68" s="715"/>
      <c r="AF68" s="716"/>
      <c r="AG68" s="699"/>
      <c r="AH68" s="700"/>
      <c r="AI68" s="700"/>
      <c r="AJ68" s="700"/>
      <c r="AK68" s="15"/>
    </row>
    <row r="69" spans="2:37" ht="18" customHeight="1">
      <c r="B69" s="14"/>
      <c r="C69" s="717" t="str">
        <f>"B &gt; "&amp;ROUNDUP(2*_Modul_Randabstand+0*_Modul_Spaltenabstand+1*_Modulbreite_Standard,1)&amp;" m"</f>
        <v>B &gt; 1.6 m</v>
      </c>
      <c r="D69" s="717"/>
      <c r="E69" s="717"/>
      <c r="F69" s="1"/>
      <c r="G69" s="1"/>
      <c r="O69" s="701" t="str">
        <f>"B &gt; "&amp;ROUNDUP(2*_Modul_Randabstand+5*_Modul_Spaltenabstand+6*_Modulbreite_Standard,1)&amp;" m"</f>
        <v>B &gt; 7.4 m</v>
      </c>
      <c r="P69" s="701"/>
      <c r="Q69" s="701"/>
      <c r="R69" s="701"/>
      <c r="S69" s="701"/>
      <c r="T69" s="701"/>
      <c r="U69" s="701"/>
      <c r="V69" s="701"/>
      <c r="W69" s="701"/>
      <c r="X69" s="701"/>
      <c r="Y69" s="701"/>
      <c r="Z69" s="701"/>
      <c r="AA69" s="701"/>
      <c r="AB69" s="701"/>
      <c r="AC69" s="701"/>
      <c r="AD69" s="701"/>
      <c r="AE69" s="701"/>
      <c r="AF69" s="701"/>
      <c r="AK69" s="15"/>
    </row>
    <row r="70" spans="2:37" ht="18" customHeight="1" thickBot="1">
      <c r="B70" s="16"/>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17"/>
    </row>
    <row r="71" spans="2:37" ht="18" customHeight="1"/>
    <row r="72" spans="2:37" ht="18" hidden="1" customHeight="1"/>
    <row r="73" spans="2:37" ht="18" hidden="1" customHeight="1"/>
    <row r="74" spans="2:37" ht="18" hidden="1" customHeight="1"/>
    <row r="75" spans="2:37" ht="18" hidden="1" customHeight="1"/>
    <row r="76" spans="2:37" ht="18" hidden="1" customHeight="1"/>
    <row r="77" spans="2:37" ht="18" hidden="1" customHeight="1"/>
    <row r="78" spans="2:37" ht="18" hidden="1" customHeight="1"/>
    <row r="79" spans="2:37" ht="18" hidden="1" customHeight="1"/>
  </sheetData>
  <sheetProtection algorithmName="SHA-512" hashValue="tE9HtIfTp1VxHosF+yzohgLJh59XnE2veyT4OhQIwtw5CM6a8SxzWxd//3v6naf3TMh2hQ7T7lRgNkedGVbf7Q==" saltValue="3Gga1909o4tYT3eyXTLS0g==" spinCount="100000" sheet="1" objects="1" scenarios="1" selectLockedCells="1" autoFilter="0" selectUnlockedCells="1"/>
  <mergeCells count="68">
    <mergeCell ref="H31:L33"/>
    <mergeCell ref="M31:Q33"/>
    <mergeCell ref="AG64:AJ68"/>
    <mergeCell ref="O64:Q68"/>
    <mergeCell ref="R64:T68"/>
    <mergeCell ref="U64:W68"/>
    <mergeCell ref="X64:Z68"/>
    <mergeCell ref="AA64:AC68"/>
    <mergeCell ref="O39:Q43"/>
    <mergeCell ref="L44:N48"/>
    <mergeCell ref="O44:Q48"/>
    <mergeCell ref="L49:N53"/>
    <mergeCell ref="O49:Q53"/>
    <mergeCell ref="L39:N43"/>
    <mergeCell ref="AD39:AF43"/>
    <mergeCell ref="L2:AK4"/>
    <mergeCell ref="C22:G24"/>
    <mergeCell ref="C25:G27"/>
    <mergeCell ref="C28:G28"/>
    <mergeCell ref="R22:V24"/>
    <mergeCell ref="B6:AK6"/>
    <mergeCell ref="B8:AK8"/>
    <mergeCell ref="W19:AF19"/>
    <mergeCell ref="R28:AF28"/>
    <mergeCell ref="H10:K27"/>
    <mergeCell ref="W10:AA12"/>
    <mergeCell ref="AB10:AF12"/>
    <mergeCell ref="AG10:AJ18"/>
    <mergeCell ref="W13:AA15"/>
    <mergeCell ref="AB13:AF15"/>
    <mergeCell ref="W16:AA18"/>
    <mergeCell ref="AB16:AF18"/>
    <mergeCell ref="C10:G12"/>
    <mergeCell ref="C13:G15"/>
    <mergeCell ref="C16:G18"/>
    <mergeCell ref="C19:G21"/>
    <mergeCell ref="C69:E69"/>
    <mergeCell ref="R25:V27"/>
    <mergeCell ref="W25:AA27"/>
    <mergeCell ref="AB25:AF27"/>
    <mergeCell ref="O69:AF69"/>
    <mergeCell ref="L54:Q54"/>
    <mergeCell ref="C39:E43"/>
    <mergeCell ref="C44:E48"/>
    <mergeCell ref="C49:E53"/>
    <mergeCell ref="C54:E58"/>
    <mergeCell ref="C59:E63"/>
    <mergeCell ref="C64:E68"/>
    <mergeCell ref="F39:I68"/>
    <mergeCell ref="AD64:AF68"/>
    <mergeCell ref="X39:Z43"/>
    <mergeCell ref="C31:G33"/>
    <mergeCell ref="AG22:AJ27"/>
    <mergeCell ref="C34:AF34"/>
    <mergeCell ref="R39:U53"/>
    <mergeCell ref="AG39:AJ48"/>
    <mergeCell ref="X49:AF49"/>
    <mergeCell ref="B37:AK37"/>
    <mergeCell ref="R31:V33"/>
    <mergeCell ref="W31:AA33"/>
    <mergeCell ref="AB31:AF33"/>
    <mergeCell ref="AG31:AJ33"/>
    <mergeCell ref="W22:AA24"/>
    <mergeCell ref="AB22:AF24"/>
    <mergeCell ref="AA39:AC43"/>
    <mergeCell ref="X44:Z48"/>
    <mergeCell ref="AA44:AC48"/>
    <mergeCell ref="AD44:AF48"/>
  </mergeCells>
  <pageMargins left="0.7" right="0.7" top="0.78740157499999996" bottom="0.78740157499999996" header="0.3" footer="0.3"/>
  <pageSetup paperSize="9" scale="5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887D-9E15-48B9-AA16-569D1EA8E4E8}">
  <sheetPr codeName="Tabelle22"/>
  <dimension ref="A1:CT79"/>
  <sheetViews>
    <sheetView zoomScaleNormal="100" workbookViewId="0">
      <selection activeCell="B7" sqref="B7"/>
    </sheetView>
  </sheetViews>
  <sheetFormatPr baseColWidth="10" defaultColWidth="0" defaultRowHeight="15" zeroHeight="1"/>
  <cols>
    <col min="1" max="1" width="4.140625" customWidth="1"/>
    <col min="2" max="37" width="3.42578125" customWidth="1"/>
    <col min="38" max="38" width="4.5703125" customWidth="1"/>
    <col min="39" max="98" width="3.42578125" hidden="1" customWidth="1"/>
    <col min="99" max="16384" width="11.42578125" hidden="1"/>
  </cols>
  <sheetData>
    <row r="1" spans="1:37" ht="15.75" thickBot="1">
      <c r="A1" s="27" t="str">
        <f ca="1">MID(CELL("dateiname",A1),SEARCH("]",CELL("dateiname",A1))+1,31)</f>
        <v>Modulfeld blendarm</v>
      </c>
    </row>
    <row r="2" spans="1:37" ht="15" customHeight="1">
      <c r="B2" s="431">
        <f>Bericht!B2</f>
        <v>0</v>
      </c>
      <c r="C2" s="432"/>
      <c r="D2" s="432"/>
      <c r="E2" s="432"/>
      <c r="F2" s="432"/>
      <c r="G2" s="432"/>
      <c r="H2" s="432"/>
      <c r="I2" s="432"/>
      <c r="J2" s="432"/>
      <c r="K2" s="432"/>
      <c r="L2" s="718" t="str">
        <f>_Dok_Titel</f>
        <v>Planungshilfe
Solar- und Photovoltaikanlagen auf Schrägdächern (Art. 77 Abs. 3 und 4 BZR)
Formular-Release 2.5</v>
      </c>
      <c r="M2" s="718"/>
      <c r="N2" s="718"/>
      <c r="O2" s="718"/>
      <c r="P2" s="718"/>
      <c r="Q2" s="718"/>
      <c r="R2" s="718"/>
      <c r="S2" s="718"/>
      <c r="T2" s="718"/>
      <c r="U2" s="718"/>
      <c r="V2" s="718"/>
      <c r="W2" s="718"/>
      <c r="X2" s="718"/>
      <c r="Y2" s="718"/>
      <c r="Z2" s="718"/>
      <c r="AA2" s="718"/>
      <c r="AB2" s="718"/>
      <c r="AC2" s="718"/>
      <c r="AD2" s="718"/>
      <c r="AE2" s="718"/>
      <c r="AF2" s="718"/>
      <c r="AG2" s="718"/>
      <c r="AH2" s="718"/>
      <c r="AI2" s="718"/>
      <c r="AJ2" s="718"/>
      <c r="AK2" s="719"/>
    </row>
    <row r="3" spans="1:37" ht="15" customHeight="1">
      <c r="B3" s="433"/>
      <c r="C3" s="434"/>
      <c r="D3" s="434"/>
      <c r="E3" s="434"/>
      <c r="F3" s="434"/>
      <c r="G3" s="434"/>
      <c r="H3" s="434"/>
      <c r="I3" s="434"/>
      <c r="J3" s="434"/>
      <c r="K3" s="434"/>
      <c r="L3" s="720"/>
      <c r="M3" s="720"/>
      <c r="N3" s="720"/>
      <c r="O3" s="720"/>
      <c r="P3" s="720"/>
      <c r="Q3" s="720"/>
      <c r="R3" s="720"/>
      <c r="S3" s="720"/>
      <c r="T3" s="720"/>
      <c r="U3" s="720"/>
      <c r="V3" s="720"/>
      <c r="W3" s="720"/>
      <c r="X3" s="720"/>
      <c r="Y3" s="720"/>
      <c r="Z3" s="720"/>
      <c r="AA3" s="720"/>
      <c r="AB3" s="720"/>
      <c r="AC3" s="720"/>
      <c r="AD3" s="720"/>
      <c r="AE3" s="720"/>
      <c r="AF3" s="720"/>
      <c r="AG3" s="720"/>
      <c r="AH3" s="720"/>
      <c r="AI3" s="720"/>
      <c r="AJ3" s="720"/>
      <c r="AK3" s="721"/>
    </row>
    <row r="4" spans="1:37" ht="34.5" customHeight="1" thickBot="1">
      <c r="B4" s="435"/>
      <c r="C4" s="436"/>
      <c r="D4" s="436"/>
      <c r="E4" s="436"/>
      <c r="F4" s="436"/>
      <c r="G4" s="436"/>
      <c r="H4" s="436"/>
      <c r="I4" s="436"/>
      <c r="J4" s="436"/>
      <c r="K4" s="436"/>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3"/>
    </row>
    <row r="5" spans="1:37" ht="15.75" thickBot="1"/>
    <row r="6" spans="1:37" s="21" customFormat="1" ht="25.15" customHeight="1" thickBot="1">
      <c r="B6" s="724" t="str">
        <f>"Zusatzblatt minimale Grösse Modulfeld mit blendarmen Modulen ("&amp;Basisdaten!D34&amp;" x " &amp;Basisdaten!D35&amp;" m)"</f>
        <v>Zusatzblatt minimale Grösse Modulfeld mit blendarmen Modulen (1.722 x 1.134 m)</v>
      </c>
      <c r="C6" s="725"/>
      <c r="D6" s="725"/>
      <c r="E6" s="725"/>
      <c r="F6" s="725"/>
      <c r="G6" s="725"/>
      <c r="H6" s="725"/>
      <c r="I6" s="725"/>
      <c r="J6" s="725"/>
      <c r="K6" s="725"/>
      <c r="L6" s="725"/>
      <c r="M6" s="725"/>
      <c r="N6" s="725"/>
      <c r="O6" s="725"/>
      <c r="P6" s="725"/>
      <c r="Q6" s="725"/>
      <c r="R6" s="725"/>
      <c r="S6" s="725"/>
      <c r="T6" s="725"/>
      <c r="U6" s="725"/>
      <c r="V6" s="725"/>
      <c r="W6" s="725"/>
      <c r="X6" s="725"/>
      <c r="Y6" s="725"/>
      <c r="Z6" s="725"/>
      <c r="AA6" s="725"/>
      <c r="AB6" s="725"/>
      <c r="AC6" s="725"/>
      <c r="AD6" s="725"/>
      <c r="AE6" s="725"/>
      <c r="AF6" s="725"/>
      <c r="AG6" s="725"/>
      <c r="AH6" s="725"/>
      <c r="AI6" s="725"/>
      <c r="AJ6" s="725"/>
      <c r="AK6" s="726"/>
    </row>
    <row r="7" spans="1:37" ht="18" customHeight="1" thickBot="1"/>
    <row r="8" spans="1:37" ht="25.5" customHeight="1">
      <c r="B8" s="705" t="s">
        <v>81</v>
      </c>
      <c r="C8" s="706"/>
      <c r="D8" s="706"/>
      <c r="E8" s="706"/>
      <c r="F8" s="706"/>
      <c r="G8" s="706"/>
      <c r="H8" s="706"/>
      <c r="I8" s="706"/>
      <c r="J8" s="706"/>
      <c r="K8" s="706"/>
      <c r="L8" s="706"/>
      <c r="M8" s="706"/>
      <c r="N8" s="706"/>
      <c r="O8" s="706"/>
      <c r="P8" s="706"/>
      <c r="Q8" s="706"/>
      <c r="R8" s="706"/>
      <c r="S8" s="706"/>
      <c r="T8" s="706"/>
      <c r="U8" s="706"/>
      <c r="V8" s="706"/>
      <c r="W8" s="706"/>
      <c r="X8" s="706"/>
      <c r="Y8" s="706"/>
      <c r="Z8" s="706"/>
      <c r="AA8" s="706"/>
      <c r="AB8" s="706"/>
      <c r="AC8" s="706"/>
      <c r="AD8" s="706"/>
      <c r="AE8" s="706"/>
      <c r="AF8" s="706"/>
      <c r="AG8" s="706"/>
      <c r="AH8" s="706"/>
      <c r="AI8" s="706"/>
      <c r="AJ8" s="706"/>
      <c r="AK8" s="707"/>
    </row>
    <row r="9" spans="1:37" ht="18" customHeight="1" thickBot="1">
      <c r="B9" s="14"/>
      <c r="AK9" s="15"/>
    </row>
    <row r="10" spans="1:37" ht="18" customHeight="1">
      <c r="B10" s="14"/>
      <c r="C10" s="708"/>
      <c r="D10" s="709"/>
      <c r="E10" s="709"/>
      <c r="F10" s="709"/>
      <c r="G10" s="710"/>
      <c r="H10" s="699" t="str">
        <f>"Höhe &gt; "&amp;ROUNDUP(2* _Modul_Randabstand+5*_Modul_Zeilenabstand+6*_Modulbreite_Satin,1)&amp;" m"</f>
        <v>Höhe &gt; 7.4 m</v>
      </c>
      <c r="I10" s="700"/>
      <c r="J10" s="700"/>
      <c r="K10" s="700"/>
      <c r="W10" s="708"/>
      <c r="X10" s="709"/>
      <c r="Y10" s="709"/>
      <c r="Z10" s="709"/>
      <c r="AA10" s="710"/>
      <c r="AB10" s="708"/>
      <c r="AC10" s="709"/>
      <c r="AD10" s="709"/>
      <c r="AE10" s="709"/>
      <c r="AF10" s="710"/>
      <c r="AG10" s="702" t="str">
        <f>"Höhe &gt; "&amp;ROUNDUP(2* _Modul_Randabstand+2*_Modul_Zeilenabstand+3*_Modulbreite_Satin,1)&amp;" m"</f>
        <v>Höhe &gt; 3.9 m</v>
      </c>
      <c r="AH10" s="703"/>
      <c r="AI10" s="703"/>
      <c r="AJ10" s="703"/>
      <c r="AK10" s="15"/>
    </row>
    <row r="11" spans="1:37" ht="18" customHeight="1">
      <c r="B11" s="14"/>
      <c r="C11" s="711"/>
      <c r="D11" s="712"/>
      <c r="E11" s="712"/>
      <c r="F11" s="712"/>
      <c r="G11" s="713"/>
      <c r="H11" s="699"/>
      <c r="I11" s="700"/>
      <c r="J11" s="700"/>
      <c r="K11" s="700"/>
      <c r="W11" s="711"/>
      <c r="X11" s="712"/>
      <c r="Y11" s="712"/>
      <c r="Z11" s="712"/>
      <c r="AA11" s="713"/>
      <c r="AB11" s="711"/>
      <c r="AC11" s="712"/>
      <c r="AD11" s="712"/>
      <c r="AE11" s="712"/>
      <c r="AF11" s="713"/>
      <c r="AG11" s="702"/>
      <c r="AH11" s="703"/>
      <c r="AI11" s="703"/>
      <c r="AJ11" s="703"/>
      <c r="AK11" s="15"/>
    </row>
    <row r="12" spans="1:37" ht="18" customHeight="1" thickBot="1">
      <c r="B12" s="14"/>
      <c r="C12" s="714"/>
      <c r="D12" s="715"/>
      <c r="E12" s="715"/>
      <c r="F12" s="715"/>
      <c r="G12" s="716"/>
      <c r="H12" s="699"/>
      <c r="I12" s="700"/>
      <c r="J12" s="700"/>
      <c r="K12" s="700"/>
      <c r="W12" s="714"/>
      <c r="X12" s="715"/>
      <c r="Y12" s="715"/>
      <c r="Z12" s="715"/>
      <c r="AA12" s="716"/>
      <c r="AB12" s="714"/>
      <c r="AC12" s="715"/>
      <c r="AD12" s="715"/>
      <c r="AE12" s="715"/>
      <c r="AF12" s="716"/>
      <c r="AG12" s="702"/>
      <c r="AH12" s="703"/>
      <c r="AI12" s="703"/>
      <c r="AJ12" s="703"/>
      <c r="AK12" s="15"/>
    </row>
    <row r="13" spans="1:37" ht="18" customHeight="1">
      <c r="B13" s="14"/>
      <c r="C13" s="708"/>
      <c r="D13" s="709"/>
      <c r="E13" s="709"/>
      <c r="F13" s="709"/>
      <c r="G13" s="710"/>
      <c r="H13" s="699"/>
      <c r="I13" s="700"/>
      <c r="J13" s="700"/>
      <c r="K13" s="700"/>
      <c r="W13" s="708"/>
      <c r="X13" s="709"/>
      <c r="Y13" s="709"/>
      <c r="Z13" s="709"/>
      <c r="AA13" s="710"/>
      <c r="AB13" s="708"/>
      <c r="AC13" s="709"/>
      <c r="AD13" s="709"/>
      <c r="AE13" s="709"/>
      <c r="AF13" s="710"/>
      <c r="AG13" s="702"/>
      <c r="AH13" s="703"/>
      <c r="AI13" s="703"/>
      <c r="AJ13" s="703"/>
      <c r="AK13" s="15"/>
    </row>
    <row r="14" spans="1:37" ht="18" customHeight="1">
      <c r="B14" s="14"/>
      <c r="C14" s="711"/>
      <c r="D14" s="712"/>
      <c r="E14" s="712"/>
      <c r="F14" s="712"/>
      <c r="G14" s="713"/>
      <c r="H14" s="699"/>
      <c r="I14" s="700"/>
      <c r="J14" s="700"/>
      <c r="K14" s="700"/>
      <c r="W14" s="711"/>
      <c r="X14" s="712"/>
      <c r="Y14" s="712"/>
      <c r="Z14" s="712"/>
      <c r="AA14" s="713"/>
      <c r="AB14" s="711"/>
      <c r="AC14" s="712"/>
      <c r="AD14" s="712"/>
      <c r="AE14" s="712"/>
      <c r="AF14" s="713"/>
      <c r="AG14" s="702"/>
      <c r="AH14" s="703"/>
      <c r="AI14" s="703"/>
      <c r="AJ14" s="703"/>
      <c r="AK14" s="15"/>
    </row>
    <row r="15" spans="1:37" ht="18" customHeight="1" thickBot="1">
      <c r="B15" s="14"/>
      <c r="C15" s="714"/>
      <c r="D15" s="715"/>
      <c r="E15" s="715"/>
      <c r="F15" s="715"/>
      <c r="G15" s="716"/>
      <c r="H15" s="699"/>
      <c r="I15" s="700"/>
      <c r="J15" s="700"/>
      <c r="K15" s="700"/>
      <c r="W15" s="714"/>
      <c r="X15" s="715"/>
      <c r="Y15" s="715"/>
      <c r="Z15" s="715"/>
      <c r="AA15" s="716"/>
      <c r="AB15" s="714"/>
      <c r="AC15" s="715"/>
      <c r="AD15" s="715"/>
      <c r="AE15" s="715"/>
      <c r="AF15" s="716"/>
      <c r="AG15" s="702"/>
      <c r="AH15" s="703"/>
      <c r="AI15" s="703"/>
      <c r="AJ15" s="703"/>
      <c r="AK15" s="15"/>
    </row>
    <row r="16" spans="1:37" ht="18" customHeight="1">
      <c r="B16" s="14"/>
      <c r="C16" s="708"/>
      <c r="D16" s="709"/>
      <c r="E16" s="709"/>
      <c r="F16" s="709"/>
      <c r="G16" s="710"/>
      <c r="H16" s="699"/>
      <c r="I16" s="700"/>
      <c r="J16" s="700"/>
      <c r="K16" s="700"/>
      <c r="W16" s="708"/>
      <c r="X16" s="709"/>
      <c r="Y16" s="709"/>
      <c r="Z16" s="709"/>
      <c r="AA16" s="710"/>
      <c r="AB16" s="708"/>
      <c r="AC16" s="709"/>
      <c r="AD16" s="709"/>
      <c r="AE16" s="709"/>
      <c r="AF16" s="710"/>
      <c r="AG16" s="702"/>
      <c r="AH16" s="703"/>
      <c r="AI16" s="703"/>
      <c r="AJ16" s="703"/>
      <c r="AK16" s="15"/>
    </row>
    <row r="17" spans="2:37" ht="18" customHeight="1">
      <c r="B17" s="14"/>
      <c r="C17" s="711"/>
      <c r="D17" s="712"/>
      <c r="E17" s="712"/>
      <c r="F17" s="712"/>
      <c r="G17" s="713"/>
      <c r="H17" s="699"/>
      <c r="I17" s="700"/>
      <c r="J17" s="700"/>
      <c r="K17" s="700"/>
      <c r="W17" s="711"/>
      <c r="X17" s="712"/>
      <c r="Y17" s="712"/>
      <c r="Z17" s="712"/>
      <c r="AA17" s="713"/>
      <c r="AB17" s="711"/>
      <c r="AC17" s="712"/>
      <c r="AD17" s="712"/>
      <c r="AE17" s="712"/>
      <c r="AF17" s="713"/>
      <c r="AG17" s="702"/>
      <c r="AH17" s="703"/>
      <c r="AI17" s="703"/>
      <c r="AJ17" s="703"/>
      <c r="AK17" s="15"/>
    </row>
    <row r="18" spans="2:37" ht="18" customHeight="1" thickBot="1">
      <c r="B18" s="14"/>
      <c r="C18" s="714"/>
      <c r="D18" s="715"/>
      <c r="E18" s="715"/>
      <c r="F18" s="715"/>
      <c r="G18" s="716"/>
      <c r="H18" s="699"/>
      <c r="I18" s="700"/>
      <c r="J18" s="700"/>
      <c r="K18" s="700"/>
      <c r="W18" s="714"/>
      <c r="X18" s="715"/>
      <c r="Y18" s="715"/>
      <c r="Z18" s="715"/>
      <c r="AA18" s="716"/>
      <c r="AB18" s="714"/>
      <c r="AC18" s="715"/>
      <c r="AD18" s="715"/>
      <c r="AE18" s="715"/>
      <c r="AF18" s="716"/>
      <c r="AG18" s="702"/>
      <c r="AH18" s="703"/>
      <c r="AI18" s="703"/>
      <c r="AJ18" s="703"/>
      <c r="AK18" s="15"/>
    </row>
    <row r="19" spans="2:37" ht="18" customHeight="1">
      <c r="B19" s="14"/>
      <c r="C19" s="708"/>
      <c r="D19" s="709"/>
      <c r="E19" s="709"/>
      <c r="F19" s="709"/>
      <c r="G19" s="710"/>
      <c r="H19" s="699"/>
      <c r="I19" s="700"/>
      <c r="J19" s="700"/>
      <c r="K19" s="700"/>
      <c r="W19" s="701" t="str">
        <f>"Breite &gt; "&amp;ROUNDUP(2*_Modul_Randabstand+1*_Modul_Spaltenabstand+2*_Modullänge_Satin,1)&amp;" m"</f>
        <v>Breite &gt; 3.9 m</v>
      </c>
      <c r="X19" s="701"/>
      <c r="Y19" s="701"/>
      <c r="Z19" s="701"/>
      <c r="AA19" s="701"/>
      <c r="AB19" s="701"/>
      <c r="AC19" s="701"/>
      <c r="AD19" s="701"/>
      <c r="AE19" s="701"/>
      <c r="AF19" s="701"/>
      <c r="AK19" s="15"/>
    </row>
    <row r="20" spans="2:37" ht="18" customHeight="1">
      <c r="B20" s="14"/>
      <c r="C20" s="711"/>
      <c r="D20" s="712"/>
      <c r="E20" s="712"/>
      <c r="F20" s="712"/>
      <c r="G20" s="713"/>
      <c r="H20" s="699"/>
      <c r="I20" s="700"/>
      <c r="J20" s="700"/>
      <c r="K20" s="700"/>
      <c r="AK20" s="15"/>
    </row>
    <row r="21" spans="2:37" ht="18" customHeight="1" thickBot="1">
      <c r="B21" s="14"/>
      <c r="C21" s="714"/>
      <c r="D21" s="715"/>
      <c r="E21" s="715"/>
      <c r="F21" s="715"/>
      <c r="G21" s="716"/>
      <c r="H21" s="699"/>
      <c r="I21" s="700"/>
      <c r="J21" s="700"/>
      <c r="K21" s="700"/>
      <c r="AK21" s="15"/>
    </row>
    <row r="22" spans="2:37" ht="18" customHeight="1">
      <c r="B22" s="14"/>
      <c r="C22" s="708"/>
      <c r="D22" s="709"/>
      <c r="E22" s="709"/>
      <c r="F22" s="709"/>
      <c r="G22" s="710"/>
      <c r="H22" s="699"/>
      <c r="I22" s="700"/>
      <c r="J22" s="700"/>
      <c r="K22" s="700"/>
      <c r="R22" s="708"/>
      <c r="S22" s="709"/>
      <c r="T22" s="709"/>
      <c r="U22" s="709"/>
      <c r="V22" s="710"/>
      <c r="W22" s="708"/>
      <c r="X22" s="709"/>
      <c r="Y22" s="709"/>
      <c r="Z22" s="709"/>
      <c r="AA22" s="710"/>
      <c r="AB22" s="708"/>
      <c r="AC22" s="709"/>
      <c r="AD22" s="709"/>
      <c r="AE22" s="709"/>
      <c r="AF22" s="710"/>
      <c r="AG22" s="699" t="str">
        <f>"Höhe &gt; "&amp;ROUNDUP(2*_Modul_Randabstand+1*_Modul_Zeilenabstand+2*_Modulbreite_Satin,1)&amp;" m"</f>
        <v>Höhe &gt; 2.7 m</v>
      </c>
      <c r="AH22" s="700"/>
      <c r="AI22" s="700"/>
      <c r="AJ22" s="700"/>
      <c r="AK22" s="15"/>
    </row>
    <row r="23" spans="2:37" ht="18" customHeight="1">
      <c r="B23" s="14"/>
      <c r="C23" s="711"/>
      <c r="D23" s="712"/>
      <c r="E23" s="712"/>
      <c r="F23" s="712"/>
      <c r="G23" s="713"/>
      <c r="H23" s="699"/>
      <c r="I23" s="700"/>
      <c r="J23" s="700"/>
      <c r="K23" s="700"/>
      <c r="R23" s="711"/>
      <c r="S23" s="712"/>
      <c r="T23" s="712"/>
      <c r="U23" s="712"/>
      <c r="V23" s="713"/>
      <c r="W23" s="711"/>
      <c r="X23" s="712"/>
      <c r="Y23" s="712"/>
      <c r="Z23" s="712"/>
      <c r="AA23" s="713"/>
      <c r="AB23" s="711"/>
      <c r="AC23" s="712"/>
      <c r="AD23" s="712"/>
      <c r="AE23" s="712"/>
      <c r="AF23" s="713"/>
      <c r="AG23" s="699"/>
      <c r="AH23" s="700"/>
      <c r="AI23" s="700"/>
      <c r="AJ23" s="700"/>
      <c r="AK23" s="15"/>
    </row>
    <row r="24" spans="2:37" ht="18" customHeight="1" thickBot="1">
      <c r="B24" s="14"/>
      <c r="C24" s="714"/>
      <c r="D24" s="715"/>
      <c r="E24" s="715"/>
      <c r="F24" s="715"/>
      <c r="G24" s="716"/>
      <c r="H24" s="699"/>
      <c r="I24" s="700"/>
      <c r="J24" s="700"/>
      <c r="K24" s="700"/>
      <c r="R24" s="714"/>
      <c r="S24" s="715"/>
      <c r="T24" s="715"/>
      <c r="U24" s="715"/>
      <c r="V24" s="716"/>
      <c r="W24" s="714"/>
      <c r="X24" s="715"/>
      <c r="Y24" s="715"/>
      <c r="Z24" s="715"/>
      <c r="AA24" s="716"/>
      <c r="AB24" s="714"/>
      <c r="AC24" s="715"/>
      <c r="AD24" s="715"/>
      <c r="AE24" s="715"/>
      <c r="AF24" s="716"/>
      <c r="AG24" s="699"/>
      <c r="AH24" s="700"/>
      <c r="AI24" s="700"/>
      <c r="AJ24" s="700"/>
      <c r="AK24" s="15"/>
    </row>
    <row r="25" spans="2:37" ht="18" customHeight="1">
      <c r="B25" s="14"/>
      <c r="C25" s="708"/>
      <c r="D25" s="709"/>
      <c r="E25" s="709"/>
      <c r="F25" s="709"/>
      <c r="G25" s="710"/>
      <c r="H25" s="699"/>
      <c r="I25" s="700"/>
      <c r="J25" s="700"/>
      <c r="K25" s="700"/>
      <c r="R25" s="708"/>
      <c r="S25" s="709"/>
      <c r="T25" s="709"/>
      <c r="U25" s="709"/>
      <c r="V25" s="710"/>
      <c r="W25" s="708"/>
      <c r="X25" s="709"/>
      <c r="Y25" s="709"/>
      <c r="Z25" s="709"/>
      <c r="AA25" s="710"/>
      <c r="AB25" s="708"/>
      <c r="AC25" s="709"/>
      <c r="AD25" s="709"/>
      <c r="AE25" s="709"/>
      <c r="AF25" s="710"/>
      <c r="AG25" s="699"/>
      <c r="AH25" s="700"/>
      <c r="AI25" s="700"/>
      <c r="AJ25" s="700"/>
      <c r="AK25" s="15"/>
    </row>
    <row r="26" spans="2:37" ht="18" customHeight="1">
      <c r="B26" s="14"/>
      <c r="C26" s="711"/>
      <c r="D26" s="712"/>
      <c r="E26" s="712"/>
      <c r="F26" s="712"/>
      <c r="G26" s="713"/>
      <c r="H26" s="699"/>
      <c r="I26" s="700"/>
      <c r="J26" s="700"/>
      <c r="K26" s="700"/>
      <c r="R26" s="711"/>
      <c r="S26" s="712"/>
      <c r="T26" s="712"/>
      <c r="U26" s="712"/>
      <c r="V26" s="713"/>
      <c r="W26" s="711"/>
      <c r="X26" s="712"/>
      <c r="Y26" s="712"/>
      <c r="Z26" s="712"/>
      <c r="AA26" s="713"/>
      <c r="AB26" s="711"/>
      <c r="AC26" s="712"/>
      <c r="AD26" s="712"/>
      <c r="AE26" s="712"/>
      <c r="AF26" s="713"/>
      <c r="AG26" s="699"/>
      <c r="AH26" s="700"/>
      <c r="AI26" s="700"/>
      <c r="AJ26" s="700"/>
      <c r="AK26" s="15"/>
    </row>
    <row r="27" spans="2:37" ht="18" customHeight="1" thickBot="1">
      <c r="B27" s="14"/>
      <c r="C27" s="714"/>
      <c r="D27" s="715"/>
      <c r="E27" s="715"/>
      <c r="F27" s="715"/>
      <c r="G27" s="716"/>
      <c r="H27" s="699"/>
      <c r="I27" s="700"/>
      <c r="J27" s="700"/>
      <c r="K27" s="700"/>
      <c r="R27" s="714"/>
      <c r="S27" s="715"/>
      <c r="T27" s="715"/>
      <c r="U27" s="715"/>
      <c r="V27" s="716"/>
      <c r="W27" s="714"/>
      <c r="X27" s="715"/>
      <c r="Y27" s="715"/>
      <c r="Z27" s="715"/>
      <c r="AA27" s="716"/>
      <c r="AB27" s="714"/>
      <c r="AC27" s="715"/>
      <c r="AD27" s="715"/>
      <c r="AE27" s="715"/>
      <c r="AF27" s="716"/>
      <c r="AG27" s="699"/>
      <c r="AH27" s="700"/>
      <c r="AI27" s="700"/>
      <c r="AJ27" s="700"/>
      <c r="AK27" s="15"/>
    </row>
    <row r="28" spans="2:37" ht="18" customHeight="1">
      <c r="B28" s="14"/>
      <c r="C28" s="701" t="str">
        <f>"Breite &gt; "&amp;ROUNDUP(2*_Modul_Randabstand+0*_Modul_Spaltenabstand+1*_Modullänge_Satin,1)&amp;" m"</f>
        <v>Breite &gt; 2.2 m</v>
      </c>
      <c r="D28" s="701"/>
      <c r="E28" s="701"/>
      <c r="F28" s="701"/>
      <c r="G28" s="701"/>
      <c r="R28" s="701" t="str">
        <f>"Breite &gt; "&amp;ROUNDUP(2*_Modul_Randabstand+2*_Modul_Spaltenabstand+3*_Modullänge_Satin,1)&amp;" m"</f>
        <v>Breite &gt; 5.7 m</v>
      </c>
      <c r="S28" s="701"/>
      <c r="T28" s="701"/>
      <c r="U28" s="701"/>
      <c r="V28" s="701"/>
      <c r="W28" s="701"/>
      <c r="X28" s="701"/>
      <c r="Y28" s="701"/>
      <c r="Z28" s="701"/>
      <c r="AA28" s="701"/>
      <c r="AB28" s="701"/>
      <c r="AC28" s="701"/>
      <c r="AD28" s="701"/>
      <c r="AE28" s="701"/>
      <c r="AF28" s="701"/>
      <c r="AK28" s="15"/>
    </row>
    <row r="29" spans="2:37" ht="18" customHeight="1">
      <c r="B29" s="14"/>
      <c r="AK29" s="15"/>
    </row>
    <row r="30" spans="2:37" ht="18" customHeight="1" thickBot="1">
      <c r="B30" s="14"/>
      <c r="AK30" s="15"/>
    </row>
    <row r="31" spans="2:37" ht="18" customHeight="1">
      <c r="B31" s="14"/>
      <c r="C31" s="708"/>
      <c r="D31" s="709"/>
      <c r="E31" s="709"/>
      <c r="F31" s="709"/>
      <c r="G31" s="710"/>
      <c r="H31" s="708"/>
      <c r="I31" s="709"/>
      <c r="J31" s="709"/>
      <c r="K31" s="709"/>
      <c r="L31" s="710"/>
      <c r="M31" s="708"/>
      <c r="N31" s="709"/>
      <c r="O31" s="709"/>
      <c r="P31" s="709"/>
      <c r="Q31" s="710"/>
      <c r="R31" s="708"/>
      <c r="S31" s="709"/>
      <c r="T31" s="709"/>
      <c r="U31" s="709"/>
      <c r="V31" s="710"/>
      <c r="W31" s="708"/>
      <c r="X31" s="709"/>
      <c r="Y31" s="709"/>
      <c r="Z31" s="709"/>
      <c r="AA31" s="710"/>
      <c r="AB31" s="708"/>
      <c r="AC31" s="709"/>
      <c r="AD31" s="709"/>
      <c r="AE31" s="709"/>
      <c r="AF31" s="710"/>
      <c r="AG31" s="702" t="str">
        <f>"Höhe &gt; "&amp;ROUNDUP(2*_Modul_Randabstand+0*_Modul_Zeilenabstand+1*_Modulbreite_Satin,1)&amp;" m"</f>
        <v>Höhe &gt; 1.6 m</v>
      </c>
      <c r="AH31" s="703"/>
      <c r="AI31" s="703"/>
      <c r="AJ31" s="703"/>
      <c r="AK31" s="15"/>
    </row>
    <row r="32" spans="2:37" ht="18" customHeight="1">
      <c r="B32" s="14"/>
      <c r="C32" s="711"/>
      <c r="D32" s="712"/>
      <c r="E32" s="712"/>
      <c r="F32" s="712"/>
      <c r="G32" s="713"/>
      <c r="H32" s="711"/>
      <c r="I32" s="712"/>
      <c r="J32" s="712"/>
      <c r="K32" s="712"/>
      <c r="L32" s="713"/>
      <c r="M32" s="711"/>
      <c r="N32" s="712"/>
      <c r="O32" s="712"/>
      <c r="P32" s="712"/>
      <c r="Q32" s="713"/>
      <c r="R32" s="711"/>
      <c r="S32" s="712"/>
      <c r="T32" s="712"/>
      <c r="U32" s="712"/>
      <c r="V32" s="713"/>
      <c r="W32" s="711"/>
      <c r="X32" s="712"/>
      <c r="Y32" s="712"/>
      <c r="Z32" s="712"/>
      <c r="AA32" s="713"/>
      <c r="AB32" s="711"/>
      <c r="AC32" s="712"/>
      <c r="AD32" s="712"/>
      <c r="AE32" s="712"/>
      <c r="AF32" s="713"/>
      <c r="AG32" s="702"/>
      <c r="AH32" s="703"/>
      <c r="AI32" s="703"/>
      <c r="AJ32" s="703"/>
      <c r="AK32" s="15"/>
    </row>
    <row r="33" spans="2:37" ht="18" customHeight="1" thickBot="1">
      <c r="B33" s="14"/>
      <c r="C33" s="714"/>
      <c r="D33" s="715"/>
      <c r="E33" s="715"/>
      <c r="F33" s="715"/>
      <c r="G33" s="716"/>
      <c r="H33" s="714"/>
      <c r="I33" s="715"/>
      <c r="J33" s="715"/>
      <c r="K33" s="715"/>
      <c r="L33" s="716"/>
      <c r="M33" s="714"/>
      <c r="N33" s="715"/>
      <c r="O33" s="715"/>
      <c r="P33" s="715"/>
      <c r="Q33" s="716"/>
      <c r="R33" s="714"/>
      <c r="S33" s="715"/>
      <c r="T33" s="715"/>
      <c r="U33" s="715"/>
      <c r="V33" s="716"/>
      <c r="W33" s="714"/>
      <c r="X33" s="715"/>
      <c r="Y33" s="715"/>
      <c r="Z33" s="715"/>
      <c r="AA33" s="716"/>
      <c r="AB33" s="714"/>
      <c r="AC33" s="715"/>
      <c r="AD33" s="715"/>
      <c r="AE33" s="715"/>
      <c r="AF33" s="716"/>
      <c r="AG33" s="702"/>
      <c r="AH33" s="703"/>
      <c r="AI33" s="703"/>
      <c r="AJ33" s="703"/>
      <c r="AK33" s="15"/>
    </row>
    <row r="34" spans="2:37" ht="18" customHeight="1">
      <c r="B34" s="14"/>
      <c r="C34" s="701" t="str">
        <f>"Breite &gt; "&amp;ROUNDUP(2*_Modul_Randabstand+5*_Modul_Spaltenabstand+6*_Modullänge_Satin,1)&amp;" m"</f>
        <v>Breite &gt; 10.9 m</v>
      </c>
      <c r="D34" s="701"/>
      <c r="E34" s="701"/>
      <c r="F34" s="701"/>
      <c r="G34" s="701"/>
      <c r="H34" s="701"/>
      <c r="I34" s="701"/>
      <c r="J34" s="701"/>
      <c r="K34" s="701"/>
      <c r="L34" s="701"/>
      <c r="M34" s="701"/>
      <c r="N34" s="701"/>
      <c r="O34" s="701"/>
      <c r="P34" s="701"/>
      <c r="Q34" s="701"/>
      <c r="R34" s="701"/>
      <c r="S34" s="701"/>
      <c r="T34" s="701"/>
      <c r="U34" s="701"/>
      <c r="V34" s="701"/>
      <c r="W34" s="701"/>
      <c r="X34" s="701"/>
      <c r="Y34" s="701"/>
      <c r="Z34" s="701"/>
      <c r="AA34" s="701"/>
      <c r="AB34" s="701"/>
      <c r="AC34" s="701"/>
      <c r="AD34" s="701"/>
      <c r="AE34" s="701"/>
      <c r="AF34" s="701"/>
      <c r="AK34" s="15"/>
    </row>
    <row r="35" spans="2:37" ht="18" customHeight="1" thickBot="1">
      <c r="B35" s="16"/>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17"/>
    </row>
    <row r="36" spans="2:37" ht="18" customHeight="1" thickBot="1"/>
    <row r="37" spans="2:37" ht="25.5" customHeight="1">
      <c r="B37" s="705" t="s">
        <v>82</v>
      </c>
      <c r="C37" s="706"/>
      <c r="D37" s="706"/>
      <c r="E37" s="706"/>
      <c r="F37" s="706"/>
      <c r="G37" s="706"/>
      <c r="H37" s="706"/>
      <c r="I37" s="706"/>
      <c r="J37" s="706"/>
      <c r="K37" s="706"/>
      <c r="L37" s="706"/>
      <c r="M37" s="706"/>
      <c r="N37" s="706"/>
      <c r="O37" s="706"/>
      <c r="P37" s="706"/>
      <c r="Q37" s="706"/>
      <c r="R37" s="706"/>
      <c r="S37" s="706"/>
      <c r="T37" s="706"/>
      <c r="U37" s="706"/>
      <c r="V37" s="706"/>
      <c r="W37" s="706"/>
      <c r="X37" s="706"/>
      <c r="Y37" s="706"/>
      <c r="Z37" s="706"/>
      <c r="AA37" s="706"/>
      <c r="AB37" s="706"/>
      <c r="AC37" s="706"/>
      <c r="AD37" s="706"/>
      <c r="AE37" s="706"/>
      <c r="AF37" s="706"/>
      <c r="AG37" s="706"/>
      <c r="AH37" s="706"/>
      <c r="AI37" s="706"/>
      <c r="AJ37" s="706"/>
      <c r="AK37" s="707"/>
    </row>
    <row r="38" spans="2:37" ht="18" customHeight="1" thickBot="1">
      <c r="B38" s="24"/>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6"/>
    </row>
    <row r="39" spans="2:37" ht="18" customHeight="1">
      <c r="B39" s="14"/>
      <c r="C39" s="708"/>
      <c r="D39" s="709"/>
      <c r="E39" s="710"/>
      <c r="F39" s="702" t="str">
        <f>"Höhe &gt; "&amp;ROUNDUP(2*_Modul_Randabstand+5*_Modul_Zeilenabstand+6*_Modullänge_Satin,1)&amp;" m"</f>
        <v>Höhe &gt; 10.9 m</v>
      </c>
      <c r="G39" s="703"/>
      <c r="H39" s="703"/>
      <c r="I39" s="703"/>
      <c r="L39" s="708"/>
      <c r="M39" s="709"/>
      <c r="N39" s="710"/>
      <c r="O39" s="708"/>
      <c r="P39" s="709"/>
      <c r="Q39" s="710"/>
      <c r="R39" s="702" t="str">
        <f>"Höhe &gt; "&amp;ROUNDUP(2*_Modul_Randabstand+2*_Modul_Zeilenabstand+3*_Modullänge_Satin,1)&amp;" m"</f>
        <v>Höhe &gt; 5.7 m</v>
      </c>
      <c r="S39" s="703"/>
      <c r="T39" s="703"/>
      <c r="U39" s="703"/>
      <c r="X39" s="708"/>
      <c r="Y39" s="709"/>
      <c r="Z39" s="710"/>
      <c r="AA39" s="708"/>
      <c r="AB39" s="709"/>
      <c r="AC39" s="710"/>
      <c r="AD39" s="708"/>
      <c r="AE39" s="709"/>
      <c r="AF39" s="710"/>
      <c r="AG39" s="702" t="str">
        <f>"Höhe &gt; "&amp;ROUNDUP(2*_Modul_Randabstand+1*_Modul_Zeilenabstand+2*_Modullänge_Satin,1)&amp;" m"</f>
        <v>Höhe &gt; 3.9 m</v>
      </c>
      <c r="AH39" s="703"/>
      <c r="AI39" s="703"/>
      <c r="AJ39" s="703"/>
      <c r="AK39" s="15"/>
    </row>
    <row r="40" spans="2:37" ht="18" customHeight="1">
      <c r="B40" s="14"/>
      <c r="C40" s="711"/>
      <c r="D40" s="712"/>
      <c r="E40" s="713"/>
      <c r="F40" s="702"/>
      <c r="G40" s="703"/>
      <c r="H40" s="703"/>
      <c r="I40" s="703"/>
      <c r="L40" s="711"/>
      <c r="M40" s="712"/>
      <c r="N40" s="713"/>
      <c r="O40" s="711"/>
      <c r="P40" s="712"/>
      <c r="Q40" s="713"/>
      <c r="R40" s="702"/>
      <c r="S40" s="703"/>
      <c r="T40" s="703"/>
      <c r="U40" s="703"/>
      <c r="X40" s="711"/>
      <c r="Y40" s="712"/>
      <c r="Z40" s="713"/>
      <c r="AA40" s="711"/>
      <c r="AB40" s="712"/>
      <c r="AC40" s="713"/>
      <c r="AD40" s="711"/>
      <c r="AE40" s="712"/>
      <c r="AF40" s="713"/>
      <c r="AG40" s="702"/>
      <c r="AH40" s="703"/>
      <c r="AI40" s="703"/>
      <c r="AJ40" s="703"/>
      <c r="AK40" s="15"/>
    </row>
    <row r="41" spans="2:37" ht="18" customHeight="1">
      <c r="B41" s="14"/>
      <c r="C41" s="711"/>
      <c r="D41" s="712"/>
      <c r="E41" s="713"/>
      <c r="F41" s="702"/>
      <c r="G41" s="703"/>
      <c r="H41" s="703"/>
      <c r="I41" s="703"/>
      <c r="L41" s="711"/>
      <c r="M41" s="712"/>
      <c r="N41" s="713"/>
      <c r="O41" s="711"/>
      <c r="P41" s="712"/>
      <c r="Q41" s="713"/>
      <c r="R41" s="702"/>
      <c r="S41" s="703"/>
      <c r="T41" s="703"/>
      <c r="U41" s="703"/>
      <c r="X41" s="711"/>
      <c r="Y41" s="712"/>
      <c r="Z41" s="713"/>
      <c r="AA41" s="711"/>
      <c r="AB41" s="712"/>
      <c r="AC41" s="713"/>
      <c r="AD41" s="711"/>
      <c r="AE41" s="712"/>
      <c r="AF41" s="713"/>
      <c r="AG41" s="702"/>
      <c r="AH41" s="703"/>
      <c r="AI41" s="703"/>
      <c r="AJ41" s="703"/>
      <c r="AK41" s="15"/>
    </row>
    <row r="42" spans="2:37" ht="18" customHeight="1">
      <c r="B42" s="14"/>
      <c r="C42" s="711"/>
      <c r="D42" s="712"/>
      <c r="E42" s="713"/>
      <c r="F42" s="702"/>
      <c r="G42" s="703"/>
      <c r="H42" s="703"/>
      <c r="I42" s="703"/>
      <c r="L42" s="711"/>
      <c r="M42" s="712"/>
      <c r="N42" s="713"/>
      <c r="O42" s="711"/>
      <c r="P42" s="712"/>
      <c r="Q42" s="713"/>
      <c r="R42" s="702"/>
      <c r="S42" s="703"/>
      <c r="T42" s="703"/>
      <c r="U42" s="703"/>
      <c r="X42" s="711"/>
      <c r="Y42" s="712"/>
      <c r="Z42" s="713"/>
      <c r="AA42" s="711"/>
      <c r="AB42" s="712"/>
      <c r="AC42" s="713"/>
      <c r="AD42" s="711"/>
      <c r="AE42" s="712"/>
      <c r="AF42" s="713"/>
      <c r="AG42" s="702"/>
      <c r="AH42" s="703"/>
      <c r="AI42" s="703"/>
      <c r="AJ42" s="703"/>
      <c r="AK42" s="15"/>
    </row>
    <row r="43" spans="2:37" ht="18" customHeight="1" thickBot="1">
      <c r="B43" s="14"/>
      <c r="C43" s="714"/>
      <c r="D43" s="715"/>
      <c r="E43" s="716"/>
      <c r="F43" s="702"/>
      <c r="G43" s="703"/>
      <c r="H43" s="703"/>
      <c r="I43" s="703"/>
      <c r="L43" s="714"/>
      <c r="M43" s="715"/>
      <c r="N43" s="716"/>
      <c r="O43" s="714"/>
      <c r="P43" s="715"/>
      <c r="Q43" s="716"/>
      <c r="R43" s="702"/>
      <c r="S43" s="703"/>
      <c r="T43" s="703"/>
      <c r="U43" s="703"/>
      <c r="X43" s="714"/>
      <c r="Y43" s="715"/>
      <c r="Z43" s="716"/>
      <c r="AA43" s="714"/>
      <c r="AB43" s="715"/>
      <c r="AC43" s="716"/>
      <c r="AD43" s="714"/>
      <c r="AE43" s="715"/>
      <c r="AF43" s="716"/>
      <c r="AG43" s="702"/>
      <c r="AH43" s="703"/>
      <c r="AI43" s="703"/>
      <c r="AJ43" s="703"/>
      <c r="AK43" s="15"/>
    </row>
    <row r="44" spans="2:37" ht="18" customHeight="1">
      <c r="B44" s="14"/>
      <c r="C44" s="708"/>
      <c r="D44" s="709"/>
      <c r="E44" s="710"/>
      <c r="F44" s="702"/>
      <c r="G44" s="703"/>
      <c r="H44" s="703"/>
      <c r="I44" s="703"/>
      <c r="L44" s="708"/>
      <c r="M44" s="709"/>
      <c r="N44" s="710"/>
      <c r="O44" s="708"/>
      <c r="P44" s="709"/>
      <c r="Q44" s="710"/>
      <c r="R44" s="702"/>
      <c r="S44" s="703"/>
      <c r="T44" s="703"/>
      <c r="U44" s="703"/>
      <c r="X44" s="708"/>
      <c r="Y44" s="709"/>
      <c r="Z44" s="710"/>
      <c r="AA44" s="708"/>
      <c r="AB44" s="709"/>
      <c r="AC44" s="710"/>
      <c r="AD44" s="708"/>
      <c r="AE44" s="709"/>
      <c r="AF44" s="710"/>
      <c r="AG44" s="702"/>
      <c r="AH44" s="703"/>
      <c r="AI44" s="703"/>
      <c r="AJ44" s="703"/>
      <c r="AK44" s="15"/>
    </row>
    <row r="45" spans="2:37" ht="18" customHeight="1">
      <c r="B45" s="14"/>
      <c r="C45" s="711"/>
      <c r="D45" s="712"/>
      <c r="E45" s="713"/>
      <c r="F45" s="702"/>
      <c r="G45" s="703"/>
      <c r="H45" s="703"/>
      <c r="I45" s="703"/>
      <c r="L45" s="711"/>
      <c r="M45" s="712"/>
      <c r="N45" s="713"/>
      <c r="O45" s="711"/>
      <c r="P45" s="712"/>
      <c r="Q45" s="713"/>
      <c r="R45" s="702"/>
      <c r="S45" s="703"/>
      <c r="T45" s="703"/>
      <c r="U45" s="703"/>
      <c r="X45" s="711"/>
      <c r="Y45" s="712"/>
      <c r="Z45" s="713"/>
      <c r="AA45" s="711"/>
      <c r="AB45" s="712"/>
      <c r="AC45" s="713"/>
      <c r="AD45" s="711"/>
      <c r="AE45" s="712"/>
      <c r="AF45" s="713"/>
      <c r="AG45" s="702"/>
      <c r="AH45" s="703"/>
      <c r="AI45" s="703"/>
      <c r="AJ45" s="703"/>
      <c r="AK45" s="15"/>
    </row>
    <row r="46" spans="2:37" ht="18" customHeight="1">
      <c r="B46" s="14"/>
      <c r="C46" s="711"/>
      <c r="D46" s="712"/>
      <c r="E46" s="713"/>
      <c r="F46" s="702"/>
      <c r="G46" s="703"/>
      <c r="H46" s="703"/>
      <c r="I46" s="703"/>
      <c r="L46" s="711"/>
      <c r="M46" s="712"/>
      <c r="N46" s="713"/>
      <c r="O46" s="711"/>
      <c r="P46" s="712"/>
      <c r="Q46" s="713"/>
      <c r="R46" s="702"/>
      <c r="S46" s="703"/>
      <c r="T46" s="703"/>
      <c r="U46" s="703"/>
      <c r="X46" s="711"/>
      <c r="Y46" s="712"/>
      <c r="Z46" s="713"/>
      <c r="AA46" s="711"/>
      <c r="AB46" s="712"/>
      <c r="AC46" s="713"/>
      <c r="AD46" s="711"/>
      <c r="AE46" s="712"/>
      <c r="AF46" s="713"/>
      <c r="AG46" s="702"/>
      <c r="AH46" s="703"/>
      <c r="AI46" s="703"/>
      <c r="AJ46" s="703"/>
      <c r="AK46" s="15"/>
    </row>
    <row r="47" spans="2:37" ht="18" customHeight="1">
      <c r="B47" s="14"/>
      <c r="C47" s="711"/>
      <c r="D47" s="712"/>
      <c r="E47" s="713"/>
      <c r="F47" s="702"/>
      <c r="G47" s="703"/>
      <c r="H47" s="703"/>
      <c r="I47" s="703"/>
      <c r="L47" s="711"/>
      <c r="M47" s="712"/>
      <c r="N47" s="713"/>
      <c r="O47" s="711"/>
      <c r="P47" s="712"/>
      <c r="Q47" s="713"/>
      <c r="R47" s="702"/>
      <c r="S47" s="703"/>
      <c r="T47" s="703"/>
      <c r="U47" s="703"/>
      <c r="X47" s="711"/>
      <c r="Y47" s="712"/>
      <c r="Z47" s="713"/>
      <c r="AA47" s="711"/>
      <c r="AB47" s="712"/>
      <c r="AC47" s="713"/>
      <c r="AD47" s="711"/>
      <c r="AE47" s="712"/>
      <c r="AF47" s="713"/>
      <c r="AG47" s="702"/>
      <c r="AH47" s="703"/>
      <c r="AI47" s="703"/>
      <c r="AJ47" s="703"/>
      <c r="AK47" s="15"/>
    </row>
    <row r="48" spans="2:37" ht="18" customHeight="1" thickBot="1">
      <c r="B48" s="14"/>
      <c r="C48" s="714"/>
      <c r="D48" s="715"/>
      <c r="E48" s="716"/>
      <c r="F48" s="702"/>
      <c r="G48" s="703"/>
      <c r="H48" s="703"/>
      <c r="I48" s="703"/>
      <c r="L48" s="714"/>
      <c r="M48" s="715"/>
      <c r="N48" s="716"/>
      <c r="O48" s="714"/>
      <c r="P48" s="715"/>
      <c r="Q48" s="716"/>
      <c r="R48" s="702"/>
      <c r="S48" s="703"/>
      <c r="T48" s="703"/>
      <c r="U48" s="703"/>
      <c r="X48" s="714"/>
      <c r="Y48" s="715"/>
      <c r="Z48" s="716"/>
      <c r="AA48" s="714"/>
      <c r="AB48" s="715"/>
      <c r="AC48" s="716"/>
      <c r="AD48" s="714"/>
      <c r="AE48" s="715"/>
      <c r="AF48" s="716"/>
      <c r="AG48" s="702"/>
      <c r="AH48" s="703"/>
      <c r="AI48" s="703"/>
      <c r="AJ48" s="703"/>
      <c r="AK48" s="15"/>
    </row>
    <row r="49" spans="2:37" ht="18" customHeight="1">
      <c r="B49" s="14"/>
      <c r="C49" s="708"/>
      <c r="D49" s="709"/>
      <c r="E49" s="710"/>
      <c r="F49" s="702"/>
      <c r="G49" s="703"/>
      <c r="H49" s="703"/>
      <c r="I49" s="703"/>
      <c r="L49" s="708"/>
      <c r="M49" s="709"/>
      <c r="N49" s="710"/>
      <c r="O49" s="708"/>
      <c r="P49" s="709"/>
      <c r="Q49" s="710"/>
      <c r="R49" s="702"/>
      <c r="S49" s="703"/>
      <c r="T49" s="703"/>
      <c r="U49" s="703"/>
      <c r="X49" s="704" t="str">
        <f>"B &gt; "&amp;ROUNDUP(2*_Modul_Randabstand+2*_Modul_Spaltenabstand+3*_Modulbreite_Satin,1)&amp;" m"</f>
        <v>B &gt; 3.9 m</v>
      </c>
      <c r="Y49" s="704"/>
      <c r="Z49" s="704"/>
      <c r="AA49" s="704"/>
      <c r="AB49" s="704"/>
      <c r="AC49" s="704"/>
      <c r="AD49" s="704"/>
      <c r="AE49" s="704"/>
      <c r="AF49" s="704"/>
      <c r="AK49" s="15"/>
    </row>
    <row r="50" spans="2:37" ht="18" customHeight="1">
      <c r="B50" s="14"/>
      <c r="C50" s="711"/>
      <c r="D50" s="712"/>
      <c r="E50" s="713"/>
      <c r="F50" s="702"/>
      <c r="G50" s="703"/>
      <c r="H50" s="703"/>
      <c r="I50" s="703"/>
      <c r="L50" s="711"/>
      <c r="M50" s="712"/>
      <c r="N50" s="713"/>
      <c r="O50" s="711"/>
      <c r="P50" s="712"/>
      <c r="Q50" s="713"/>
      <c r="R50" s="702"/>
      <c r="S50" s="703"/>
      <c r="T50" s="703"/>
      <c r="U50" s="703"/>
      <c r="AK50" s="15"/>
    </row>
    <row r="51" spans="2:37" ht="18" customHeight="1">
      <c r="B51" s="14"/>
      <c r="C51" s="711"/>
      <c r="D51" s="712"/>
      <c r="E51" s="713"/>
      <c r="F51" s="702"/>
      <c r="G51" s="703"/>
      <c r="H51" s="703"/>
      <c r="I51" s="703"/>
      <c r="L51" s="711"/>
      <c r="M51" s="712"/>
      <c r="N51" s="713"/>
      <c r="O51" s="711"/>
      <c r="P51" s="712"/>
      <c r="Q51" s="713"/>
      <c r="R51" s="702"/>
      <c r="S51" s="703"/>
      <c r="T51" s="703"/>
      <c r="U51" s="703"/>
      <c r="AK51" s="15"/>
    </row>
    <row r="52" spans="2:37" ht="18" customHeight="1">
      <c r="B52" s="14"/>
      <c r="C52" s="711"/>
      <c r="D52" s="712"/>
      <c r="E52" s="713"/>
      <c r="F52" s="702"/>
      <c r="G52" s="703"/>
      <c r="H52" s="703"/>
      <c r="I52" s="703"/>
      <c r="L52" s="711"/>
      <c r="M52" s="712"/>
      <c r="N52" s="713"/>
      <c r="O52" s="711"/>
      <c r="P52" s="712"/>
      <c r="Q52" s="713"/>
      <c r="R52" s="702"/>
      <c r="S52" s="703"/>
      <c r="T52" s="703"/>
      <c r="U52" s="703"/>
      <c r="AK52" s="15"/>
    </row>
    <row r="53" spans="2:37" ht="18" customHeight="1" thickBot="1">
      <c r="B53" s="14"/>
      <c r="C53" s="714"/>
      <c r="D53" s="715"/>
      <c r="E53" s="716"/>
      <c r="F53" s="702"/>
      <c r="G53" s="703"/>
      <c r="H53" s="703"/>
      <c r="I53" s="703"/>
      <c r="L53" s="714"/>
      <c r="M53" s="715"/>
      <c r="N53" s="716"/>
      <c r="O53" s="714"/>
      <c r="P53" s="715"/>
      <c r="Q53" s="716"/>
      <c r="R53" s="702"/>
      <c r="S53" s="703"/>
      <c r="T53" s="703"/>
      <c r="U53" s="703"/>
      <c r="AK53" s="15"/>
    </row>
    <row r="54" spans="2:37" ht="18" customHeight="1">
      <c r="B54" s="14"/>
      <c r="C54" s="708"/>
      <c r="D54" s="709"/>
      <c r="E54" s="710"/>
      <c r="F54" s="702"/>
      <c r="G54" s="703"/>
      <c r="H54" s="703"/>
      <c r="I54" s="703"/>
      <c r="L54" s="704" t="str">
        <f>"B &gt; "&amp;ROUNDUP(2*_Modul_Randabstand+1*_Modul_Spaltenabstand+2*_Modulbreite_Satin,1)&amp;" m"</f>
        <v>B &gt; 2.7 m</v>
      </c>
      <c r="M54" s="704"/>
      <c r="N54" s="704"/>
      <c r="O54" s="704"/>
      <c r="P54" s="704"/>
      <c r="Q54" s="704"/>
      <c r="AK54" s="15"/>
    </row>
    <row r="55" spans="2:37" ht="18" customHeight="1">
      <c r="B55" s="14"/>
      <c r="C55" s="711"/>
      <c r="D55" s="712"/>
      <c r="E55" s="713"/>
      <c r="F55" s="702"/>
      <c r="G55" s="703"/>
      <c r="H55" s="703"/>
      <c r="I55" s="703"/>
      <c r="AK55" s="15"/>
    </row>
    <row r="56" spans="2:37" ht="18" customHeight="1">
      <c r="B56" s="14"/>
      <c r="C56" s="711"/>
      <c r="D56" s="712"/>
      <c r="E56" s="713"/>
      <c r="F56" s="702"/>
      <c r="G56" s="703"/>
      <c r="H56" s="703"/>
      <c r="I56" s="703"/>
      <c r="AK56" s="15"/>
    </row>
    <row r="57" spans="2:37" ht="18" customHeight="1">
      <c r="B57" s="14"/>
      <c r="C57" s="711"/>
      <c r="D57" s="712"/>
      <c r="E57" s="713"/>
      <c r="F57" s="702"/>
      <c r="G57" s="703"/>
      <c r="H57" s="703"/>
      <c r="I57" s="703"/>
      <c r="AK57" s="15"/>
    </row>
    <row r="58" spans="2:37" ht="18" customHeight="1" thickBot="1">
      <c r="B58" s="14"/>
      <c r="C58" s="714"/>
      <c r="D58" s="715"/>
      <c r="E58" s="716"/>
      <c r="F58" s="702"/>
      <c r="G58" s="703"/>
      <c r="H58" s="703"/>
      <c r="I58" s="703"/>
      <c r="AK58" s="15"/>
    </row>
    <row r="59" spans="2:37" ht="18" customHeight="1">
      <c r="B59" s="14"/>
      <c r="C59" s="708"/>
      <c r="D59" s="709"/>
      <c r="E59" s="710"/>
      <c r="F59" s="702"/>
      <c r="G59" s="703"/>
      <c r="H59" s="703"/>
      <c r="I59" s="703"/>
      <c r="AK59" s="15"/>
    </row>
    <row r="60" spans="2:37" ht="18" customHeight="1">
      <c r="B60" s="14"/>
      <c r="C60" s="711"/>
      <c r="D60" s="712"/>
      <c r="E60" s="713"/>
      <c r="F60" s="702"/>
      <c r="G60" s="703"/>
      <c r="H60" s="703"/>
      <c r="I60" s="703"/>
      <c r="AK60" s="15"/>
    </row>
    <row r="61" spans="2:37" ht="18" customHeight="1">
      <c r="B61" s="14"/>
      <c r="C61" s="711"/>
      <c r="D61" s="712"/>
      <c r="E61" s="713"/>
      <c r="F61" s="702"/>
      <c r="G61" s="703"/>
      <c r="H61" s="703"/>
      <c r="I61" s="703"/>
      <c r="AK61" s="15"/>
    </row>
    <row r="62" spans="2:37" ht="18" customHeight="1">
      <c r="B62" s="14"/>
      <c r="C62" s="711"/>
      <c r="D62" s="712"/>
      <c r="E62" s="713"/>
      <c r="F62" s="702"/>
      <c r="G62" s="703"/>
      <c r="H62" s="703"/>
      <c r="I62" s="703"/>
      <c r="AK62" s="15"/>
    </row>
    <row r="63" spans="2:37" ht="18" customHeight="1" thickBot="1">
      <c r="B63" s="14"/>
      <c r="C63" s="714"/>
      <c r="D63" s="715"/>
      <c r="E63" s="716"/>
      <c r="F63" s="702"/>
      <c r="G63" s="703"/>
      <c r="H63" s="703"/>
      <c r="I63" s="703"/>
      <c r="AK63" s="15"/>
    </row>
    <row r="64" spans="2:37" ht="18" customHeight="1">
      <c r="B64" s="14"/>
      <c r="C64" s="708"/>
      <c r="D64" s="709"/>
      <c r="E64" s="710"/>
      <c r="F64" s="702"/>
      <c r="G64" s="703"/>
      <c r="H64" s="703"/>
      <c r="I64" s="703"/>
      <c r="O64" s="708"/>
      <c r="P64" s="709"/>
      <c r="Q64" s="710"/>
      <c r="R64" s="708"/>
      <c r="S64" s="709"/>
      <c r="T64" s="710"/>
      <c r="U64" s="708"/>
      <c r="V64" s="709"/>
      <c r="W64" s="710"/>
      <c r="X64" s="708"/>
      <c r="Y64" s="709"/>
      <c r="Z64" s="710"/>
      <c r="AA64" s="708"/>
      <c r="AB64" s="709"/>
      <c r="AC64" s="710"/>
      <c r="AD64" s="708"/>
      <c r="AE64" s="709"/>
      <c r="AF64" s="710"/>
      <c r="AG64" s="699" t="str">
        <f>"Höhe &gt; "&amp;ROUNDUP(2*_Modul_Randabstand+0*_Modul_Zeilenabstand+1*_Modullänge_Satin,1)&amp;" m"</f>
        <v>Höhe &gt; 2.2 m</v>
      </c>
      <c r="AH64" s="700"/>
      <c r="AI64" s="700"/>
      <c r="AJ64" s="700"/>
      <c r="AK64" s="15"/>
    </row>
    <row r="65" spans="2:37" ht="18" customHeight="1">
      <c r="B65" s="8"/>
      <c r="C65" s="711"/>
      <c r="D65" s="712"/>
      <c r="E65" s="713"/>
      <c r="F65" s="702"/>
      <c r="G65" s="703"/>
      <c r="H65" s="703"/>
      <c r="I65" s="703"/>
      <c r="O65" s="711"/>
      <c r="P65" s="712"/>
      <c r="Q65" s="713"/>
      <c r="R65" s="711"/>
      <c r="S65" s="712"/>
      <c r="T65" s="713"/>
      <c r="U65" s="711"/>
      <c r="V65" s="712"/>
      <c r="W65" s="713"/>
      <c r="X65" s="711"/>
      <c r="Y65" s="712"/>
      <c r="Z65" s="713"/>
      <c r="AA65" s="711"/>
      <c r="AB65" s="712"/>
      <c r="AC65" s="713"/>
      <c r="AD65" s="711"/>
      <c r="AE65" s="712"/>
      <c r="AF65" s="713"/>
      <c r="AG65" s="699"/>
      <c r="AH65" s="700"/>
      <c r="AI65" s="700"/>
      <c r="AJ65" s="700"/>
      <c r="AK65" s="15"/>
    </row>
    <row r="66" spans="2:37" ht="18" customHeight="1">
      <c r="B66" s="14"/>
      <c r="C66" s="711"/>
      <c r="D66" s="712"/>
      <c r="E66" s="713"/>
      <c r="F66" s="702"/>
      <c r="G66" s="703"/>
      <c r="H66" s="703"/>
      <c r="I66" s="703"/>
      <c r="O66" s="711"/>
      <c r="P66" s="712"/>
      <c r="Q66" s="713"/>
      <c r="R66" s="711"/>
      <c r="S66" s="712"/>
      <c r="T66" s="713"/>
      <c r="U66" s="711"/>
      <c r="V66" s="712"/>
      <c r="W66" s="713"/>
      <c r="X66" s="711"/>
      <c r="Y66" s="712"/>
      <c r="Z66" s="713"/>
      <c r="AA66" s="711"/>
      <c r="AB66" s="712"/>
      <c r="AC66" s="713"/>
      <c r="AD66" s="711"/>
      <c r="AE66" s="712"/>
      <c r="AF66" s="713"/>
      <c r="AG66" s="699"/>
      <c r="AH66" s="700"/>
      <c r="AI66" s="700"/>
      <c r="AJ66" s="700"/>
      <c r="AK66" s="15"/>
    </row>
    <row r="67" spans="2:37" ht="18" customHeight="1">
      <c r="B67" s="14"/>
      <c r="C67" s="711"/>
      <c r="D67" s="712"/>
      <c r="E67" s="713"/>
      <c r="F67" s="702"/>
      <c r="G67" s="703"/>
      <c r="H67" s="703"/>
      <c r="I67" s="703"/>
      <c r="O67" s="711"/>
      <c r="P67" s="712"/>
      <c r="Q67" s="713"/>
      <c r="R67" s="711"/>
      <c r="S67" s="712"/>
      <c r="T67" s="713"/>
      <c r="U67" s="711"/>
      <c r="V67" s="712"/>
      <c r="W67" s="713"/>
      <c r="X67" s="711"/>
      <c r="Y67" s="712"/>
      <c r="Z67" s="713"/>
      <c r="AA67" s="711"/>
      <c r="AB67" s="712"/>
      <c r="AC67" s="713"/>
      <c r="AD67" s="711"/>
      <c r="AE67" s="712"/>
      <c r="AF67" s="713"/>
      <c r="AG67" s="699"/>
      <c r="AH67" s="700"/>
      <c r="AI67" s="700"/>
      <c r="AJ67" s="700"/>
      <c r="AK67" s="15"/>
    </row>
    <row r="68" spans="2:37" ht="18" customHeight="1" thickBot="1">
      <c r="B68" s="14"/>
      <c r="C68" s="714"/>
      <c r="D68" s="715"/>
      <c r="E68" s="716"/>
      <c r="F68" s="702"/>
      <c r="G68" s="703"/>
      <c r="H68" s="703"/>
      <c r="I68" s="703"/>
      <c r="O68" s="714"/>
      <c r="P68" s="715"/>
      <c r="Q68" s="716"/>
      <c r="R68" s="714"/>
      <c r="S68" s="715"/>
      <c r="T68" s="716"/>
      <c r="U68" s="714"/>
      <c r="V68" s="715"/>
      <c r="W68" s="716"/>
      <c r="X68" s="714"/>
      <c r="Y68" s="715"/>
      <c r="Z68" s="716"/>
      <c r="AA68" s="714"/>
      <c r="AB68" s="715"/>
      <c r="AC68" s="716"/>
      <c r="AD68" s="714"/>
      <c r="AE68" s="715"/>
      <c r="AF68" s="716"/>
      <c r="AG68" s="699"/>
      <c r="AH68" s="700"/>
      <c r="AI68" s="700"/>
      <c r="AJ68" s="700"/>
      <c r="AK68" s="15"/>
    </row>
    <row r="69" spans="2:37" ht="18" customHeight="1">
      <c r="B69" s="14"/>
      <c r="C69" s="717" t="str">
        <f>"B &gt; "&amp;ROUNDUP(2*_Modul_Randabstand+0*_Modul_Spaltenabstand+1*_Modulbreite_Satin,1)&amp;" m"</f>
        <v>B &gt; 1.6 m</v>
      </c>
      <c r="D69" s="717"/>
      <c r="E69" s="717"/>
      <c r="F69" s="1"/>
      <c r="G69" s="1"/>
      <c r="O69" s="701" t="str">
        <f>"B &gt; "&amp;ROUNDUP(2*_Modul_Randabstand+5*_Modul_Spaltenabstand+6*_Modulbreite_Satin,1)&amp;" m"</f>
        <v>B &gt; 7.4 m</v>
      </c>
      <c r="P69" s="701"/>
      <c r="Q69" s="701"/>
      <c r="R69" s="701"/>
      <c r="S69" s="701"/>
      <c r="T69" s="701"/>
      <c r="U69" s="701"/>
      <c r="V69" s="701"/>
      <c r="W69" s="701"/>
      <c r="X69" s="701"/>
      <c r="Y69" s="701"/>
      <c r="Z69" s="701"/>
      <c r="AA69" s="701"/>
      <c r="AB69" s="701"/>
      <c r="AC69" s="701"/>
      <c r="AD69" s="701"/>
      <c r="AE69" s="701"/>
      <c r="AF69" s="701"/>
      <c r="AK69" s="15"/>
    </row>
    <row r="70" spans="2:37" ht="18" customHeight="1" thickBot="1">
      <c r="B70" s="16"/>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17"/>
    </row>
    <row r="71" spans="2:37" ht="18" customHeight="1"/>
    <row r="72" spans="2:37" ht="18" hidden="1" customHeight="1"/>
    <row r="73" spans="2:37" ht="18" hidden="1" customHeight="1"/>
    <row r="74" spans="2:37" ht="18" hidden="1" customHeight="1"/>
    <row r="75" spans="2:37" ht="18" hidden="1" customHeight="1"/>
    <row r="76" spans="2:37" ht="18" hidden="1" customHeight="1"/>
    <row r="77" spans="2:37" ht="18" hidden="1" customHeight="1"/>
    <row r="78" spans="2:37" ht="18" hidden="1" customHeight="1"/>
    <row r="79" spans="2:37" ht="18" hidden="1" customHeight="1"/>
  </sheetData>
  <sheetProtection algorithmName="SHA-512" hashValue="vny9nOY2u7SdSKMxjuinI7leeR5sdqPknmEOXkPDSuvUrdz/RPyqCJ/H3gEAu6SFfzNnBlBLxo0x1Qsa7Ms/ng==" saltValue="kvMwGTuQ5Bo4LvntvxLnNA==" spinCount="100000" sheet="1" objects="1" scenarios="1" selectLockedCells="1" autoFilter="0" selectUnlockedCells="1"/>
  <mergeCells count="68">
    <mergeCell ref="L2:AK4"/>
    <mergeCell ref="C69:E69"/>
    <mergeCell ref="O69:AF69"/>
    <mergeCell ref="X64:Z68"/>
    <mergeCell ref="R64:T68"/>
    <mergeCell ref="U64:W68"/>
    <mergeCell ref="AA64:AC68"/>
    <mergeCell ref="AD64:AF68"/>
    <mergeCell ref="AG64:AJ68"/>
    <mergeCell ref="C54:E58"/>
    <mergeCell ref="L54:Q54"/>
    <mergeCell ref="C59:E63"/>
    <mergeCell ref="C64:E68"/>
    <mergeCell ref="O64:Q68"/>
    <mergeCell ref="AA44:AC48"/>
    <mergeCell ref="AD44:AF48"/>
    <mergeCell ref="C49:E53"/>
    <mergeCell ref="L49:N53"/>
    <mergeCell ref="O49:Q53"/>
    <mergeCell ref="X49:AF49"/>
    <mergeCell ref="AG31:AJ33"/>
    <mergeCell ref="C34:AF34"/>
    <mergeCell ref="B37:AK37"/>
    <mergeCell ref="C39:E43"/>
    <mergeCell ref="F39:I68"/>
    <mergeCell ref="L39:N43"/>
    <mergeCell ref="O39:Q43"/>
    <mergeCell ref="R39:U53"/>
    <mergeCell ref="X39:Z43"/>
    <mergeCell ref="AA39:AC43"/>
    <mergeCell ref="AD39:AF43"/>
    <mergeCell ref="AG39:AJ48"/>
    <mergeCell ref="C44:E48"/>
    <mergeCell ref="L44:N48"/>
    <mergeCell ref="O44:Q48"/>
    <mergeCell ref="X44:Z48"/>
    <mergeCell ref="C28:G28"/>
    <mergeCell ref="R28:AF28"/>
    <mergeCell ref="C31:G33"/>
    <mergeCell ref="H31:L33"/>
    <mergeCell ref="M31:Q33"/>
    <mergeCell ref="R31:V33"/>
    <mergeCell ref="W31:AA33"/>
    <mergeCell ref="AB31:AF33"/>
    <mergeCell ref="R22:V24"/>
    <mergeCell ref="W22:AA24"/>
    <mergeCell ref="AB22:AF24"/>
    <mergeCell ref="AG22:AJ27"/>
    <mergeCell ref="C25:G27"/>
    <mergeCell ref="R25:V27"/>
    <mergeCell ref="W25:AA27"/>
    <mergeCell ref="AB25:AF27"/>
    <mergeCell ref="B6:AK6"/>
    <mergeCell ref="B8:AK8"/>
    <mergeCell ref="C10:G12"/>
    <mergeCell ref="H10:K27"/>
    <mergeCell ref="W10:AA12"/>
    <mergeCell ref="AB10:AF12"/>
    <mergeCell ref="AG10:AJ18"/>
    <mergeCell ref="C13:G15"/>
    <mergeCell ref="W13:AA15"/>
    <mergeCell ref="AB13:AF15"/>
    <mergeCell ref="C16:G18"/>
    <mergeCell ref="W16:AA18"/>
    <mergeCell ref="AB16:AF18"/>
    <mergeCell ref="C19:G21"/>
    <mergeCell ref="W19:AF19"/>
    <mergeCell ref="C22:G24"/>
  </mergeCells>
  <pageMargins left="0.7" right="0.7" top="0.78740157499999996" bottom="0.78740157499999996" header="0.3" footer="0.3"/>
  <pageSetup paperSize="9" scale="5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O123"/>
  <sheetViews>
    <sheetView workbookViewId="0"/>
  </sheetViews>
  <sheetFormatPr baseColWidth="10" defaultRowHeight="15"/>
  <cols>
    <col min="2" max="2" width="11.42578125" customWidth="1"/>
    <col min="3" max="3" width="12.42578125" customWidth="1"/>
    <col min="4" max="6" width="16.42578125" customWidth="1"/>
    <col min="7" max="7" width="19.140625" customWidth="1"/>
    <col min="8" max="10" width="15.85546875" customWidth="1"/>
    <col min="11" max="11" width="17.28515625" customWidth="1"/>
    <col min="12" max="12" width="14.85546875" customWidth="1"/>
    <col min="13" max="13" width="14.7109375" customWidth="1"/>
    <col min="14" max="14" width="13.7109375" customWidth="1"/>
    <col min="16" max="17" width="15.7109375" customWidth="1"/>
    <col min="20" max="20" width="41.42578125" customWidth="1"/>
  </cols>
  <sheetData>
    <row r="1" spans="1:15" ht="26.25">
      <c r="A1" s="9" t="s">
        <v>113</v>
      </c>
      <c r="C1" s="2"/>
    </row>
    <row r="2" spans="1:15">
      <c r="C2" s="2"/>
    </row>
    <row r="3" spans="1:15" s="10" customFormat="1" ht="45.75" thickBot="1">
      <c r="A3" s="10" t="s">
        <v>1</v>
      </c>
      <c r="B3" s="10" t="s">
        <v>22</v>
      </c>
      <c r="C3" s="10" t="s">
        <v>6</v>
      </c>
      <c r="D3" s="10" t="s">
        <v>9</v>
      </c>
      <c r="E3" s="10" t="s">
        <v>11</v>
      </c>
      <c r="F3" s="10" t="s">
        <v>10</v>
      </c>
      <c r="G3" s="10" t="s">
        <v>12</v>
      </c>
      <c r="H3" s="10" t="s">
        <v>108</v>
      </c>
      <c r="I3" s="10" t="s">
        <v>107</v>
      </c>
      <c r="J3" s="10" t="s">
        <v>110</v>
      </c>
      <c r="K3" s="10" t="s">
        <v>13</v>
      </c>
      <c r="L3" s="10" t="s">
        <v>14</v>
      </c>
      <c r="M3" s="10" t="s">
        <v>16</v>
      </c>
      <c r="N3" s="10" t="s">
        <v>18</v>
      </c>
      <c r="O3" s="10" t="s">
        <v>19</v>
      </c>
    </row>
    <row r="4" spans="1:15" s="11" customFormat="1" ht="29.25" customHeight="1">
      <c r="A4" s="12" t="s">
        <v>15</v>
      </c>
      <c r="B4" s="12"/>
      <c r="C4" s="12"/>
      <c r="D4" s="13">
        <f t="shared" ref="D4:L4" ca="1" si="0">SUM(D6:D105)</f>
        <v>0</v>
      </c>
      <c r="E4" s="13">
        <f t="shared" ca="1" si="0"/>
        <v>0</v>
      </c>
      <c r="F4" s="13">
        <f t="shared" ca="1" si="0"/>
        <v>0</v>
      </c>
      <c r="G4" s="13">
        <f t="shared" ca="1" si="0"/>
        <v>0</v>
      </c>
      <c r="H4" s="13">
        <f t="shared" ca="1" si="0"/>
        <v>0</v>
      </c>
      <c r="I4" s="13">
        <f t="shared" ca="1" si="0"/>
        <v>0</v>
      </c>
      <c r="J4" s="13">
        <f t="shared" ca="1" si="0"/>
        <v>0</v>
      </c>
      <c r="K4" s="13">
        <f t="shared" ca="1" si="0"/>
        <v>0</v>
      </c>
      <c r="L4" s="13">
        <f t="shared" ca="1" si="0"/>
        <v>0</v>
      </c>
      <c r="M4" s="13">
        <f ca="1">SUM(M6:M101)</f>
        <v>0</v>
      </c>
      <c r="N4" s="13"/>
      <c r="O4" s="13"/>
    </row>
    <row r="5" spans="1:15">
      <c r="A5">
        <v>0</v>
      </c>
      <c r="B5">
        <f>A5</f>
        <v>0</v>
      </c>
      <c r="C5">
        <v>100</v>
      </c>
      <c r="L5" s="4">
        <f ca="1">-_Gesamtkosten_tech.Vollb</f>
        <v>0</v>
      </c>
      <c r="N5" s="6">
        <f t="shared" ref="N5:N35" ca="1" si="1">IF(ISNUMBER(B5),IF(L5&lt;0,L5,0),"")</f>
        <v>0</v>
      </c>
      <c r="O5" s="6">
        <f t="shared" ref="O5:O35" ca="1" si="2">IF(ISNUMBER(B5),IF(L5&gt;0,L5,0),"")</f>
        <v>0</v>
      </c>
    </row>
    <row r="6" spans="1:15">
      <c r="A6">
        <f>A5+1</f>
        <v>1</v>
      </c>
      <c r="B6">
        <f t="shared" ref="B6:B37" si="3">IF(A6&lt;=_Lebensdauer,A6,"")</f>
        <v>1</v>
      </c>
      <c r="C6" s="3">
        <f t="shared" ref="C6:C37" si="4">IF(ISNUMBER(B6),$C$5-B6*_Degradation_pro_Jahr_Standard,0)</f>
        <v>99.62833333333333</v>
      </c>
      <c r="D6" s="4">
        <f t="shared" ref="D6:D37" ca="1" si="5">_Ertrag_max*C6/100</f>
        <v>0</v>
      </c>
      <c r="E6" s="4">
        <f t="shared" ref="E6:E37" ca="1" si="6">D6*_ENG_Rechenwert/100</f>
        <v>0</v>
      </c>
      <c r="F6" s="4">
        <f t="shared" ref="F6:F37" ca="1" si="7">(D6-E6)*_Tarif_Rücklieferung/100</f>
        <v>0</v>
      </c>
      <c r="G6" s="4">
        <f t="shared" ref="G6:G37" ca="1" si="8">E6*_Tarif_Bezug/100</f>
        <v>0</v>
      </c>
      <c r="H6" s="4">
        <f t="shared" ref="H6:H37" ca="1" si="9">IF(_EIV_t=B6,-_EIV_Max_Rechenwert,0)+IF(_EF_t=B6,-_EF_Max_Rechenwert,0)</f>
        <v>0</v>
      </c>
      <c r="I6" s="4">
        <f t="shared" ref="I6:I37" ca="1" si="10">-D6*_Tarif_Unterhalt_Rechenwert/100</f>
        <v>0</v>
      </c>
      <c r="J6" s="4">
        <f t="shared" ref="J6:J37" ca="1" si="11">IF(L5&lt;0,L5*_Kap_Verzinsung/100,0)</f>
        <v>0</v>
      </c>
      <c r="K6" s="4">
        <f t="shared" ref="K6:K37" ca="1" si="12">SUM(F6:J6)</f>
        <v>0</v>
      </c>
      <c r="L6" s="4">
        <f t="shared" ref="L6:L37" ca="1" si="13">L5+K6</f>
        <v>0</v>
      </c>
      <c r="M6" s="4">
        <f t="shared" ref="M6:M37" ca="1" si="14">IF(AND(L5&lt;0,L6&gt;=0),B6,0)</f>
        <v>0</v>
      </c>
      <c r="N6" s="4">
        <f t="shared" ca="1" si="1"/>
        <v>0</v>
      </c>
      <c r="O6" s="4">
        <f t="shared" ca="1" si="2"/>
        <v>0</v>
      </c>
    </row>
    <row r="7" spans="1:15">
      <c r="A7">
        <f t="shared" ref="A7:A10" si="15">A6+1</f>
        <v>2</v>
      </c>
      <c r="B7">
        <f t="shared" si="3"/>
        <v>2</v>
      </c>
      <c r="C7" s="3">
        <f t="shared" si="4"/>
        <v>99.256666666666661</v>
      </c>
      <c r="D7" s="4">
        <f t="shared" ca="1" si="5"/>
        <v>0</v>
      </c>
      <c r="E7" s="4">
        <f t="shared" ca="1" si="6"/>
        <v>0</v>
      </c>
      <c r="F7" s="4">
        <f t="shared" ca="1" si="7"/>
        <v>0</v>
      </c>
      <c r="G7" s="4">
        <f t="shared" ca="1" si="8"/>
        <v>0</v>
      </c>
      <c r="H7" s="4">
        <f t="shared" si="9"/>
        <v>0</v>
      </c>
      <c r="I7" s="4">
        <f t="shared" ca="1" si="10"/>
        <v>0</v>
      </c>
      <c r="J7" s="4">
        <f t="shared" ca="1" si="11"/>
        <v>0</v>
      </c>
      <c r="K7" s="4">
        <f t="shared" ca="1" si="12"/>
        <v>0</v>
      </c>
      <c r="L7" s="4">
        <f t="shared" ca="1" si="13"/>
        <v>0</v>
      </c>
      <c r="M7" s="4">
        <f t="shared" ca="1" si="14"/>
        <v>0</v>
      </c>
      <c r="N7" s="4">
        <f t="shared" ca="1" si="1"/>
        <v>0</v>
      </c>
      <c r="O7" s="4">
        <f t="shared" ca="1" si="2"/>
        <v>0</v>
      </c>
    </row>
    <row r="8" spans="1:15">
      <c r="A8">
        <f t="shared" si="15"/>
        <v>3</v>
      </c>
      <c r="B8">
        <f t="shared" si="3"/>
        <v>3</v>
      </c>
      <c r="C8" s="3">
        <f t="shared" si="4"/>
        <v>98.885000000000005</v>
      </c>
      <c r="D8" s="4">
        <f t="shared" ca="1" si="5"/>
        <v>0</v>
      </c>
      <c r="E8" s="4">
        <f t="shared" ca="1" si="6"/>
        <v>0</v>
      </c>
      <c r="F8" s="4">
        <f t="shared" ca="1" si="7"/>
        <v>0</v>
      </c>
      <c r="G8" s="4">
        <f t="shared" ca="1" si="8"/>
        <v>0</v>
      </c>
      <c r="H8" s="4">
        <f t="shared" si="9"/>
        <v>0</v>
      </c>
      <c r="I8" s="4">
        <f t="shared" ca="1" si="10"/>
        <v>0</v>
      </c>
      <c r="J8" s="4">
        <f t="shared" ca="1" si="11"/>
        <v>0</v>
      </c>
      <c r="K8" s="4">
        <f t="shared" ca="1" si="12"/>
        <v>0</v>
      </c>
      <c r="L8" s="4">
        <f t="shared" ca="1" si="13"/>
        <v>0</v>
      </c>
      <c r="M8" s="4">
        <f t="shared" ca="1" si="14"/>
        <v>0</v>
      </c>
      <c r="N8" s="4">
        <f t="shared" ca="1" si="1"/>
        <v>0</v>
      </c>
      <c r="O8" s="4">
        <f t="shared" ca="1" si="2"/>
        <v>0</v>
      </c>
    </row>
    <row r="9" spans="1:15">
      <c r="A9">
        <f t="shared" si="15"/>
        <v>4</v>
      </c>
      <c r="B9">
        <f t="shared" si="3"/>
        <v>4</v>
      </c>
      <c r="C9" s="3">
        <f t="shared" si="4"/>
        <v>98.513333333333335</v>
      </c>
      <c r="D9" s="4">
        <f t="shared" ca="1" si="5"/>
        <v>0</v>
      </c>
      <c r="E9" s="4">
        <f t="shared" ca="1" si="6"/>
        <v>0</v>
      </c>
      <c r="F9" s="4">
        <f t="shared" ca="1" si="7"/>
        <v>0</v>
      </c>
      <c r="G9" s="4">
        <f t="shared" ca="1" si="8"/>
        <v>0</v>
      </c>
      <c r="H9" s="4">
        <f t="shared" si="9"/>
        <v>0</v>
      </c>
      <c r="I9" s="4">
        <f t="shared" ca="1" si="10"/>
        <v>0</v>
      </c>
      <c r="J9" s="4">
        <f t="shared" ca="1" si="11"/>
        <v>0</v>
      </c>
      <c r="K9" s="4">
        <f t="shared" ca="1" si="12"/>
        <v>0</v>
      </c>
      <c r="L9" s="4">
        <f t="shared" ca="1" si="13"/>
        <v>0</v>
      </c>
      <c r="M9" s="4">
        <f t="shared" ca="1" si="14"/>
        <v>0</v>
      </c>
      <c r="N9" s="4">
        <f t="shared" ca="1" si="1"/>
        <v>0</v>
      </c>
      <c r="O9" s="4">
        <f t="shared" ca="1" si="2"/>
        <v>0</v>
      </c>
    </row>
    <row r="10" spans="1:15">
      <c r="A10">
        <f t="shared" si="15"/>
        <v>5</v>
      </c>
      <c r="B10">
        <f t="shared" si="3"/>
        <v>5</v>
      </c>
      <c r="C10" s="3">
        <f t="shared" si="4"/>
        <v>98.141666666666666</v>
      </c>
      <c r="D10" s="4">
        <f t="shared" ca="1" si="5"/>
        <v>0</v>
      </c>
      <c r="E10" s="4">
        <f t="shared" ca="1" si="6"/>
        <v>0</v>
      </c>
      <c r="F10" s="4">
        <f t="shared" ca="1" si="7"/>
        <v>0</v>
      </c>
      <c r="G10" s="4">
        <f t="shared" ca="1" si="8"/>
        <v>0</v>
      </c>
      <c r="H10" s="4">
        <f t="shared" si="9"/>
        <v>0</v>
      </c>
      <c r="I10" s="4">
        <f t="shared" ca="1" si="10"/>
        <v>0</v>
      </c>
      <c r="J10" s="4">
        <f t="shared" ca="1" si="11"/>
        <v>0</v>
      </c>
      <c r="K10" s="4">
        <f t="shared" ca="1" si="12"/>
        <v>0</v>
      </c>
      <c r="L10" s="4">
        <f t="shared" ca="1" si="13"/>
        <v>0</v>
      </c>
      <c r="M10" s="4">
        <f t="shared" ca="1" si="14"/>
        <v>0</v>
      </c>
      <c r="N10" s="4">
        <f t="shared" ca="1" si="1"/>
        <v>0</v>
      </c>
      <c r="O10" s="4">
        <f t="shared" ca="1" si="2"/>
        <v>0</v>
      </c>
    </row>
    <row r="11" spans="1:15">
      <c r="A11">
        <f t="shared" ref="A11:A74" si="16">A10+1</f>
        <v>6</v>
      </c>
      <c r="B11">
        <f t="shared" si="3"/>
        <v>6</v>
      </c>
      <c r="C11" s="3">
        <f t="shared" si="4"/>
        <v>97.77</v>
      </c>
      <c r="D11" s="4">
        <f t="shared" ca="1" si="5"/>
        <v>0</v>
      </c>
      <c r="E11" s="4">
        <f t="shared" ca="1" si="6"/>
        <v>0</v>
      </c>
      <c r="F11" s="4">
        <f t="shared" ca="1" si="7"/>
        <v>0</v>
      </c>
      <c r="G11" s="4">
        <f t="shared" ca="1" si="8"/>
        <v>0</v>
      </c>
      <c r="H11" s="4">
        <f t="shared" si="9"/>
        <v>0</v>
      </c>
      <c r="I11" s="4">
        <f t="shared" ca="1" si="10"/>
        <v>0</v>
      </c>
      <c r="J11" s="4">
        <f t="shared" ca="1" si="11"/>
        <v>0</v>
      </c>
      <c r="K11" s="4">
        <f t="shared" ca="1" si="12"/>
        <v>0</v>
      </c>
      <c r="L11" s="4">
        <f t="shared" ca="1" si="13"/>
        <v>0</v>
      </c>
      <c r="M11" s="4">
        <f t="shared" ca="1" si="14"/>
        <v>0</v>
      </c>
      <c r="N11" s="4">
        <f t="shared" ca="1" si="1"/>
        <v>0</v>
      </c>
      <c r="O11" s="4">
        <f t="shared" ca="1" si="2"/>
        <v>0</v>
      </c>
    </row>
    <row r="12" spans="1:15">
      <c r="A12">
        <f t="shared" si="16"/>
        <v>7</v>
      </c>
      <c r="B12">
        <f t="shared" si="3"/>
        <v>7</v>
      </c>
      <c r="C12" s="3">
        <f t="shared" si="4"/>
        <v>97.398333333333326</v>
      </c>
      <c r="D12" s="4">
        <f t="shared" ca="1" si="5"/>
        <v>0</v>
      </c>
      <c r="E12" s="4">
        <f t="shared" ca="1" si="6"/>
        <v>0</v>
      </c>
      <c r="F12" s="4">
        <f t="shared" ca="1" si="7"/>
        <v>0</v>
      </c>
      <c r="G12" s="4">
        <f t="shared" ca="1" si="8"/>
        <v>0</v>
      </c>
      <c r="H12" s="4">
        <f t="shared" si="9"/>
        <v>0</v>
      </c>
      <c r="I12" s="4">
        <f t="shared" ca="1" si="10"/>
        <v>0</v>
      </c>
      <c r="J12" s="4">
        <f t="shared" ca="1" si="11"/>
        <v>0</v>
      </c>
      <c r="K12" s="4">
        <f t="shared" ca="1" si="12"/>
        <v>0</v>
      </c>
      <c r="L12" s="4">
        <f t="shared" ca="1" si="13"/>
        <v>0</v>
      </c>
      <c r="M12" s="4">
        <f t="shared" ca="1" si="14"/>
        <v>0</v>
      </c>
      <c r="N12" s="4">
        <f t="shared" ca="1" si="1"/>
        <v>0</v>
      </c>
      <c r="O12" s="4">
        <f t="shared" ca="1" si="2"/>
        <v>0</v>
      </c>
    </row>
    <row r="13" spans="1:15">
      <c r="A13">
        <f t="shared" si="16"/>
        <v>8</v>
      </c>
      <c r="B13">
        <f t="shared" si="3"/>
        <v>8</v>
      </c>
      <c r="C13" s="3">
        <f t="shared" si="4"/>
        <v>97.026666666666671</v>
      </c>
      <c r="D13" s="4">
        <f t="shared" ca="1" si="5"/>
        <v>0</v>
      </c>
      <c r="E13" s="4">
        <f t="shared" ca="1" si="6"/>
        <v>0</v>
      </c>
      <c r="F13" s="4">
        <f t="shared" ca="1" si="7"/>
        <v>0</v>
      </c>
      <c r="G13" s="4">
        <f t="shared" ca="1" si="8"/>
        <v>0</v>
      </c>
      <c r="H13" s="4">
        <f t="shared" si="9"/>
        <v>0</v>
      </c>
      <c r="I13" s="4">
        <f t="shared" ca="1" si="10"/>
        <v>0</v>
      </c>
      <c r="J13" s="4">
        <f t="shared" ca="1" si="11"/>
        <v>0</v>
      </c>
      <c r="K13" s="4">
        <f t="shared" ca="1" si="12"/>
        <v>0</v>
      </c>
      <c r="L13" s="4">
        <f t="shared" ca="1" si="13"/>
        <v>0</v>
      </c>
      <c r="M13" s="4">
        <f t="shared" ca="1" si="14"/>
        <v>0</v>
      </c>
      <c r="N13" s="4">
        <f t="shared" ca="1" si="1"/>
        <v>0</v>
      </c>
      <c r="O13" s="4">
        <f t="shared" ca="1" si="2"/>
        <v>0</v>
      </c>
    </row>
    <row r="14" spans="1:15">
      <c r="A14">
        <f t="shared" si="16"/>
        <v>9</v>
      </c>
      <c r="B14">
        <f t="shared" si="3"/>
        <v>9</v>
      </c>
      <c r="C14" s="3">
        <f t="shared" si="4"/>
        <v>96.655000000000001</v>
      </c>
      <c r="D14" s="4">
        <f t="shared" ca="1" si="5"/>
        <v>0</v>
      </c>
      <c r="E14" s="4">
        <f t="shared" ca="1" si="6"/>
        <v>0</v>
      </c>
      <c r="F14" s="4">
        <f t="shared" ca="1" si="7"/>
        <v>0</v>
      </c>
      <c r="G14" s="4">
        <f t="shared" ca="1" si="8"/>
        <v>0</v>
      </c>
      <c r="H14" s="4">
        <f t="shared" si="9"/>
        <v>0</v>
      </c>
      <c r="I14" s="4">
        <f t="shared" ca="1" si="10"/>
        <v>0</v>
      </c>
      <c r="J14" s="4">
        <f t="shared" ca="1" si="11"/>
        <v>0</v>
      </c>
      <c r="K14" s="4">
        <f t="shared" ca="1" si="12"/>
        <v>0</v>
      </c>
      <c r="L14" s="4">
        <f t="shared" ca="1" si="13"/>
        <v>0</v>
      </c>
      <c r="M14" s="4">
        <f t="shared" ca="1" si="14"/>
        <v>0</v>
      </c>
      <c r="N14" s="4">
        <f t="shared" ca="1" si="1"/>
        <v>0</v>
      </c>
      <c r="O14" s="4">
        <f t="shared" ca="1" si="2"/>
        <v>0</v>
      </c>
    </row>
    <row r="15" spans="1:15">
      <c r="A15">
        <f t="shared" si="16"/>
        <v>10</v>
      </c>
      <c r="B15">
        <f t="shared" si="3"/>
        <v>10</v>
      </c>
      <c r="C15" s="3">
        <f t="shared" si="4"/>
        <v>96.283333333333331</v>
      </c>
      <c r="D15" s="4">
        <f t="shared" ca="1" si="5"/>
        <v>0</v>
      </c>
      <c r="E15" s="4">
        <f t="shared" ca="1" si="6"/>
        <v>0</v>
      </c>
      <c r="F15" s="4">
        <f t="shared" ca="1" si="7"/>
        <v>0</v>
      </c>
      <c r="G15" s="4">
        <f t="shared" ca="1" si="8"/>
        <v>0</v>
      </c>
      <c r="H15" s="4">
        <f t="shared" si="9"/>
        <v>0</v>
      </c>
      <c r="I15" s="4">
        <f t="shared" ca="1" si="10"/>
        <v>0</v>
      </c>
      <c r="J15" s="4">
        <f t="shared" ca="1" si="11"/>
        <v>0</v>
      </c>
      <c r="K15" s="4">
        <f t="shared" ca="1" si="12"/>
        <v>0</v>
      </c>
      <c r="L15" s="4">
        <f t="shared" ca="1" si="13"/>
        <v>0</v>
      </c>
      <c r="M15" s="4">
        <f t="shared" ca="1" si="14"/>
        <v>0</v>
      </c>
      <c r="N15" s="4">
        <f t="shared" ca="1" si="1"/>
        <v>0</v>
      </c>
      <c r="O15" s="4">
        <f t="shared" ca="1" si="2"/>
        <v>0</v>
      </c>
    </row>
    <row r="16" spans="1:15">
      <c r="A16">
        <f t="shared" si="16"/>
        <v>11</v>
      </c>
      <c r="B16">
        <f t="shared" si="3"/>
        <v>11</v>
      </c>
      <c r="C16" s="3">
        <f t="shared" si="4"/>
        <v>95.911666666666662</v>
      </c>
      <c r="D16" s="4">
        <f t="shared" ca="1" si="5"/>
        <v>0</v>
      </c>
      <c r="E16" s="4">
        <f t="shared" ca="1" si="6"/>
        <v>0</v>
      </c>
      <c r="F16" s="4">
        <f t="shared" ca="1" si="7"/>
        <v>0</v>
      </c>
      <c r="G16" s="4">
        <f t="shared" ca="1" si="8"/>
        <v>0</v>
      </c>
      <c r="H16" s="4">
        <f t="shared" si="9"/>
        <v>0</v>
      </c>
      <c r="I16" s="4">
        <f t="shared" ca="1" si="10"/>
        <v>0</v>
      </c>
      <c r="J16" s="4">
        <f t="shared" ca="1" si="11"/>
        <v>0</v>
      </c>
      <c r="K16" s="4">
        <f t="shared" ca="1" si="12"/>
        <v>0</v>
      </c>
      <c r="L16" s="4">
        <f t="shared" ca="1" si="13"/>
        <v>0</v>
      </c>
      <c r="M16" s="4">
        <f t="shared" ca="1" si="14"/>
        <v>0</v>
      </c>
      <c r="N16" s="4">
        <f t="shared" ca="1" si="1"/>
        <v>0</v>
      </c>
      <c r="O16" s="4">
        <f t="shared" ca="1" si="2"/>
        <v>0</v>
      </c>
    </row>
    <row r="17" spans="1:15">
      <c r="A17">
        <f t="shared" si="16"/>
        <v>12</v>
      </c>
      <c r="B17">
        <f t="shared" si="3"/>
        <v>12</v>
      </c>
      <c r="C17" s="3">
        <f t="shared" si="4"/>
        <v>95.539999999999992</v>
      </c>
      <c r="D17" s="4">
        <f t="shared" ca="1" si="5"/>
        <v>0</v>
      </c>
      <c r="E17" s="4">
        <f t="shared" ca="1" si="6"/>
        <v>0</v>
      </c>
      <c r="F17" s="4">
        <f t="shared" ca="1" si="7"/>
        <v>0</v>
      </c>
      <c r="G17" s="4">
        <f t="shared" ca="1" si="8"/>
        <v>0</v>
      </c>
      <c r="H17" s="4">
        <f t="shared" si="9"/>
        <v>0</v>
      </c>
      <c r="I17" s="4">
        <f t="shared" ca="1" si="10"/>
        <v>0</v>
      </c>
      <c r="J17" s="4">
        <f t="shared" ca="1" si="11"/>
        <v>0</v>
      </c>
      <c r="K17" s="4">
        <f t="shared" ca="1" si="12"/>
        <v>0</v>
      </c>
      <c r="L17" s="4">
        <f t="shared" ca="1" si="13"/>
        <v>0</v>
      </c>
      <c r="M17" s="4">
        <f t="shared" ca="1" si="14"/>
        <v>0</v>
      </c>
      <c r="N17" s="4">
        <f t="shared" ca="1" si="1"/>
        <v>0</v>
      </c>
      <c r="O17" s="4">
        <f t="shared" ca="1" si="2"/>
        <v>0</v>
      </c>
    </row>
    <row r="18" spans="1:15">
      <c r="A18">
        <f t="shared" si="16"/>
        <v>13</v>
      </c>
      <c r="B18">
        <f t="shared" si="3"/>
        <v>13</v>
      </c>
      <c r="C18" s="3">
        <f t="shared" si="4"/>
        <v>95.168333333333337</v>
      </c>
      <c r="D18" s="4">
        <f t="shared" ca="1" si="5"/>
        <v>0</v>
      </c>
      <c r="E18" s="4">
        <f t="shared" ca="1" si="6"/>
        <v>0</v>
      </c>
      <c r="F18" s="4">
        <f t="shared" ca="1" si="7"/>
        <v>0</v>
      </c>
      <c r="G18" s="4">
        <f t="shared" ca="1" si="8"/>
        <v>0</v>
      </c>
      <c r="H18" s="4">
        <f t="shared" si="9"/>
        <v>0</v>
      </c>
      <c r="I18" s="4">
        <f t="shared" ca="1" si="10"/>
        <v>0</v>
      </c>
      <c r="J18" s="4">
        <f t="shared" ca="1" si="11"/>
        <v>0</v>
      </c>
      <c r="K18" s="4">
        <f t="shared" ca="1" si="12"/>
        <v>0</v>
      </c>
      <c r="L18" s="4">
        <f t="shared" ca="1" si="13"/>
        <v>0</v>
      </c>
      <c r="M18" s="4">
        <f t="shared" ca="1" si="14"/>
        <v>0</v>
      </c>
      <c r="N18" s="4">
        <f t="shared" ca="1" si="1"/>
        <v>0</v>
      </c>
      <c r="O18" s="4">
        <f t="shared" ca="1" si="2"/>
        <v>0</v>
      </c>
    </row>
    <row r="19" spans="1:15">
      <c r="A19">
        <f t="shared" si="16"/>
        <v>14</v>
      </c>
      <c r="B19">
        <f t="shared" si="3"/>
        <v>14</v>
      </c>
      <c r="C19" s="3">
        <f t="shared" si="4"/>
        <v>94.796666666666667</v>
      </c>
      <c r="D19" s="4">
        <f t="shared" ca="1" si="5"/>
        <v>0</v>
      </c>
      <c r="E19" s="4">
        <f t="shared" ca="1" si="6"/>
        <v>0</v>
      </c>
      <c r="F19" s="4">
        <f t="shared" ca="1" si="7"/>
        <v>0</v>
      </c>
      <c r="G19" s="4">
        <f t="shared" ca="1" si="8"/>
        <v>0</v>
      </c>
      <c r="H19" s="4">
        <f t="shared" si="9"/>
        <v>0</v>
      </c>
      <c r="I19" s="4">
        <f t="shared" ca="1" si="10"/>
        <v>0</v>
      </c>
      <c r="J19" s="4">
        <f t="shared" ca="1" si="11"/>
        <v>0</v>
      </c>
      <c r="K19" s="4">
        <f t="shared" ca="1" si="12"/>
        <v>0</v>
      </c>
      <c r="L19" s="4">
        <f t="shared" ca="1" si="13"/>
        <v>0</v>
      </c>
      <c r="M19" s="4">
        <f t="shared" ca="1" si="14"/>
        <v>0</v>
      </c>
      <c r="N19" s="4">
        <f t="shared" ca="1" si="1"/>
        <v>0</v>
      </c>
      <c r="O19" s="4">
        <f t="shared" ca="1" si="2"/>
        <v>0</v>
      </c>
    </row>
    <row r="20" spans="1:15">
      <c r="A20">
        <f t="shared" si="16"/>
        <v>15</v>
      </c>
      <c r="B20">
        <f t="shared" si="3"/>
        <v>15</v>
      </c>
      <c r="C20" s="3">
        <f t="shared" si="4"/>
        <v>94.424999999999997</v>
      </c>
      <c r="D20" s="4">
        <f t="shared" ca="1" si="5"/>
        <v>0</v>
      </c>
      <c r="E20" s="4">
        <f t="shared" ca="1" si="6"/>
        <v>0</v>
      </c>
      <c r="F20" s="4">
        <f t="shared" ca="1" si="7"/>
        <v>0</v>
      </c>
      <c r="G20" s="4">
        <f t="shared" ca="1" si="8"/>
        <v>0</v>
      </c>
      <c r="H20" s="4">
        <f t="shared" si="9"/>
        <v>0</v>
      </c>
      <c r="I20" s="4">
        <f t="shared" ca="1" si="10"/>
        <v>0</v>
      </c>
      <c r="J20" s="4">
        <f t="shared" ca="1" si="11"/>
        <v>0</v>
      </c>
      <c r="K20" s="4">
        <f t="shared" ca="1" si="12"/>
        <v>0</v>
      </c>
      <c r="L20" s="4">
        <f t="shared" ca="1" si="13"/>
        <v>0</v>
      </c>
      <c r="M20" s="4">
        <f t="shared" ca="1" si="14"/>
        <v>0</v>
      </c>
      <c r="N20" s="4">
        <f t="shared" ca="1" si="1"/>
        <v>0</v>
      </c>
      <c r="O20" s="4">
        <f t="shared" ca="1" si="2"/>
        <v>0</v>
      </c>
    </row>
    <row r="21" spans="1:15">
      <c r="A21">
        <f t="shared" si="16"/>
        <v>16</v>
      </c>
      <c r="B21">
        <f t="shared" si="3"/>
        <v>16</v>
      </c>
      <c r="C21" s="3">
        <f t="shared" si="4"/>
        <v>94.053333333333327</v>
      </c>
      <c r="D21" s="4">
        <f t="shared" ca="1" si="5"/>
        <v>0</v>
      </c>
      <c r="E21" s="4">
        <f t="shared" ca="1" si="6"/>
        <v>0</v>
      </c>
      <c r="F21" s="4">
        <f t="shared" ca="1" si="7"/>
        <v>0</v>
      </c>
      <c r="G21" s="4">
        <f t="shared" ca="1" si="8"/>
        <v>0</v>
      </c>
      <c r="H21" s="4">
        <f t="shared" si="9"/>
        <v>0</v>
      </c>
      <c r="I21" s="4">
        <f t="shared" ca="1" si="10"/>
        <v>0</v>
      </c>
      <c r="J21" s="4">
        <f t="shared" ca="1" si="11"/>
        <v>0</v>
      </c>
      <c r="K21" s="4">
        <f t="shared" ca="1" si="12"/>
        <v>0</v>
      </c>
      <c r="L21" s="4">
        <f t="shared" ca="1" si="13"/>
        <v>0</v>
      </c>
      <c r="M21" s="4">
        <f t="shared" ca="1" si="14"/>
        <v>0</v>
      </c>
      <c r="N21" s="4">
        <f t="shared" ca="1" si="1"/>
        <v>0</v>
      </c>
      <c r="O21" s="4">
        <f t="shared" ca="1" si="2"/>
        <v>0</v>
      </c>
    </row>
    <row r="22" spans="1:15">
      <c r="A22">
        <f t="shared" si="16"/>
        <v>17</v>
      </c>
      <c r="B22">
        <f t="shared" si="3"/>
        <v>17</v>
      </c>
      <c r="C22" s="3">
        <f t="shared" si="4"/>
        <v>93.681666666666658</v>
      </c>
      <c r="D22" s="4">
        <f t="shared" ca="1" si="5"/>
        <v>0</v>
      </c>
      <c r="E22" s="4">
        <f t="shared" ca="1" si="6"/>
        <v>0</v>
      </c>
      <c r="F22" s="4">
        <f t="shared" ca="1" si="7"/>
        <v>0</v>
      </c>
      <c r="G22" s="4">
        <f t="shared" ca="1" si="8"/>
        <v>0</v>
      </c>
      <c r="H22" s="4">
        <f t="shared" si="9"/>
        <v>0</v>
      </c>
      <c r="I22" s="4">
        <f t="shared" ca="1" si="10"/>
        <v>0</v>
      </c>
      <c r="J22" s="4">
        <f t="shared" ca="1" si="11"/>
        <v>0</v>
      </c>
      <c r="K22" s="4">
        <f t="shared" ca="1" si="12"/>
        <v>0</v>
      </c>
      <c r="L22" s="4">
        <f t="shared" ca="1" si="13"/>
        <v>0</v>
      </c>
      <c r="M22" s="4">
        <f t="shared" ca="1" si="14"/>
        <v>0</v>
      </c>
      <c r="N22" s="4">
        <f t="shared" ca="1" si="1"/>
        <v>0</v>
      </c>
      <c r="O22" s="4">
        <f t="shared" ca="1" si="2"/>
        <v>0</v>
      </c>
    </row>
    <row r="23" spans="1:15">
      <c r="A23">
        <f t="shared" si="16"/>
        <v>18</v>
      </c>
      <c r="B23">
        <f t="shared" si="3"/>
        <v>18</v>
      </c>
      <c r="C23" s="3">
        <f t="shared" si="4"/>
        <v>93.31</v>
      </c>
      <c r="D23" s="4">
        <f t="shared" ca="1" si="5"/>
        <v>0</v>
      </c>
      <c r="E23" s="4">
        <f t="shared" ca="1" si="6"/>
        <v>0</v>
      </c>
      <c r="F23" s="4">
        <f t="shared" ca="1" si="7"/>
        <v>0</v>
      </c>
      <c r="G23" s="4">
        <f t="shared" ca="1" si="8"/>
        <v>0</v>
      </c>
      <c r="H23" s="4">
        <f t="shared" si="9"/>
        <v>0</v>
      </c>
      <c r="I23" s="4">
        <f t="shared" ca="1" si="10"/>
        <v>0</v>
      </c>
      <c r="J23" s="4">
        <f t="shared" ca="1" si="11"/>
        <v>0</v>
      </c>
      <c r="K23" s="4">
        <f t="shared" ca="1" si="12"/>
        <v>0</v>
      </c>
      <c r="L23" s="4">
        <f t="shared" ca="1" si="13"/>
        <v>0</v>
      </c>
      <c r="M23" s="4">
        <f t="shared" ca="1" si="14"/>
        <v>0</v>
      </c>
      <c r="N23" s="4">
        <f t="shared" ca="1" si="1"/>
        <v>0</v>
      </c>
      <c r="O23" s="4">
        <f t="shared" ca="1" si="2"/>
        <v>0</v>
      </c>
    </row>
    <row r="24" spans="1:15">
      <c r="A24">
        <f t="shared" si="16"/>
        <v>19</v>
      </c>
      <c r="B24">
        <f t="shared" si="3"/>
        <v>19</v>
      </c>
      <c r="C24" s="3">
        <f t="shared" si="4"/>
        <v>92.938333333333333</v>
      </c>
      <c r="D24" s="4">
        <f t="shared" ca="1" si="5"/>
        <v>0</v>
      </c>
      <c r="E24" s="4">
        <f t="shared" ca="1" si="6"/>
        <v>0</v>
      </c>
      <c r="F24" s="4">
        <f t="shared" ca="1" si="7"/>
        <v>0</v>
      </c>
      <c r="G24" s="4">
        <f t="shared" ca="1" si="8"/>
        <v>0</v>
      </c>
      <c r="H24" s="4">
        <f t="shared" si="9"/>
        <v>0</v>
      </c>
      <c r="I24" s="4">
        <f t="shared" ca="1" si="10"/>
        <v>0</v>
      </c>
      <c r="J24" s="4">
        <f t="shared" ca="1" si="11"/>
        <v>0</v>
      </c>
      <c r="K24" s="4">
        <f t="shared" ca="1" si="12"/>
        <v>0</v>
      </c>
      <c r="L24" s="4">
        <f t="shared" ca="1" si="13"/>
        <v>0</v>
      </c>
      <c r="M24" s="4">
        <f t="shared" ca="1" si="14"/>
        <v>0</v>
      </c>
      <c r="N24" s="4">
        <f t="shared" ca="1" si="1"/>
        <v>0</v>
      </c>
      <c r="O24" s="4">
        <f t="shared" ca="1" si="2"/>
        <v>0</v>
      </c>
    </row>
    <row r="25" spans="1:15">
      <c r="A25">
        <f t="shared" si="16"/>
        <v>20</v>
      </c>
      <c r="B25">
        <f t="shared" si="3"/>
        <v>20</v>
      </c>
      <c r="C25" s="3">
        <f t="shared" si="4"/>
        <v>92.566666666666663</v>
      </c>
      <c r="D25" s="4">
        <f t="shared" ca="1" si="5"/>
        <v>0</v>
      </c>
      <c r="E25" s="4">
        <f t="shared" ca="1" si="6"/>
        <v>0</v>
      </c>
      <c r="F25" s="4">
        <f t="shared" ca="1" si="7"/>
        <v>0</v>
      </c>
      <c r="G25" s="4">
        <f t="shared" ca="1" si="8"/>
        <v>0</v>
      </c>
      <c r="H25" s="4">
        <f t="shared" si="9"/>
        <v>0</v>
      </c>
      <c r="I25" s="4">
        <f t="shared" ca="1" si="10"/>
        <v>0</v>
      </c>
      <c r="J25" s="4">
        <f t="shared" ca="1" si="11"/>
        <v>0</v>
      </c>
      <c r="K25" s="4">
        <f t="shared" ca="1" si="12"/>
        <v>0</v>
      </c>
      <c r="L25" s="4">
        <f t="shared" ca="1" si="13"/>
        <v>0</v>
      </c>
      <c r="M25" s="4">
        <f t="shared" ca="1" si="14"/>
        <v>0</v>
      </c>
      <c r="N25" s="4">
        <f t="shared" ca="1" si="1"/>
        <v>0</v>
      </c>
      <c r="O25" s="4">
        <f t="shared" ca="1" si="2"/>
        <v>0</v>
      </c>
    </row>
    <row r="26" spans="1:15">
      <c r="A26">
        <f t="shared" si="16"/>
        <v>21</v>
      </c>
      <c r="B26">
        <f t="shared" si="3"/>
        <v>21</v>
      </c>
      <c r="C26" s="3">
        <f t="shared" si="4"/>
        <v>92.194999999999993</v>
      </c>
      <c r="D26" s="4">
        <f t="shared" ca="1" si="5"/>
        <v>0</v>
      </c>
      <c r="E26" s="4">
        <f t="shared" ca="1" si="6"/>
        <v>0</v>
      </c>
      <c r="F26" s="4">
        <f t="shared" ca="1" si="7"/>
        <v>0</v>
      </c>
      <c r="G26" s="4">
        <f t="shared" ca="1" si="8"/>
        <v>0</v>
      </c>
      <c r="H26" s="4">
        <f t="shared" si="9"/>
        <v>0</v>
      </c>
      <c r="I26" s="4">
        <f t="shared" ca="1" si="10"/>
        <v>0</v>
      </c>
      <c r="J26" s="4">
        <f t="shared" ca="1" si="11"/>
        <v>0</v>
      </c>
      <c r="K26" s="4">
        <f t="shared" ca="1" si="12"/>
        <v>0</v>
      </c>
      <c r="L26" s="4">
        <f t="shared" ca="1" si="13"/>
        <v>0</v>
      </c>
      <c r="M26" s="4">
        <f t="shared" ca="1" si="14"/>
        <v>0</v>
      </c>
      <c r="N26" s="4">
        <f t="shared" ca="1" si="1"/>
        <v>0</v>
      </c>
      <c r="O26" s="4">
        <f t="shared" ca="1" si="2"/>
        <v>0</v>
      </c>
    </row>
    <row r="27" spans="1:15">
      <c r="A27">
        <f t="shared" si="16"/>
        <v>22</v>
      </c>
      <c r="B27">
        <f t="shared" si="3"/>
        <v>22</v>
      </c>
      <c r="C27" s="3">
        <f t="shared" si="4"/>
        <v>91.823333333333323</v>
      </c>
      <c r="D27" s="4">
        <f t="shared" ca="1" si="5"/>
        <v>0</v>
      </c>
      <c r="E27" s="4">
        <f t="shared" ca="1" si="6"/>
        <v>0</v>
      </c>
      <c r="F27" s="4">
        <f t="shared" ca="1" si="7"/>
        <v>0</v>
      </c>
      <c r="G27" s="4">
        <f t="shared" ca="1" si="8"/>
        <v>0</v>
      </c>
      <c r="H27" s="4">
        <f t="shared" si="9"/>
        <v>0</v>
      </c>
      <c r="I27" s="4">
        <f t="shared" ca="1" si="10"/>
        <v>0</v>
      </c>
      <c r="J27" s="4">
        <f t="shared" ca="1" si="11"/>
        <v>0</v>
      </c>
      <c r="K27" s="4">
        <f t="shared" ca="1" si="12"/>
        <v>0</v>
      </c>
      <c r="L27" s="4">
        <f t="shared" ca="1" si="13"/>
        <v>0</v>
      </c>
      <c r="M27" s="4">
        <f t="shared" ca="1" si="14"/>
        <v>0</v>
      </c>
      <c r="N27" s="4">
        <f t="shared" ca="1" si="1"/>
        <v>0</v>
      </c>
      <c r="O27" s="4">
        <f t="shared" ca="1" si="2"/>
        <v>0</v>
      </c>
    </row>
    <row r="28" spans="1:15">
      <c r="A28">
        <f t="shared" si="16"/>
        <v>23</v>
      </c>
      <c r="B28">
        <f t="shared" si="3"/>
        <v>23</v>
      </c>
      <c r="C28" s="3">
        <f t="shared" si="4"/>
        <v>91.451666666666668</v>
      </c>
      <c r="D28" s="4">
        <f t="shared" ca="1" si="5"/>
        <v>0</v>
      </c>
      <c r="E28" s="4">
        <f t="shared" ca="1" si="6"/>
        <v>0</v>
      </c>
      <c r="F28" s="4">
        <f t="shared" ca="1" si="7"/>
        <v>0</v>
      </c>
      <c r="G28" s="4">
        <f t="shared" ca="1" si="8"/>
        <v>0</v>
      </c>
      <c r="H28" s="4">
        <f t="shared" si="9"/>
        <v>0</v>
      </c>
      <c r="I28" s="4">
        <f t="shared" ca="1" si="10"/>
        <v>0</v>
      </c>
      <c r="J28" s="4">
        <f t="shared" ca="1" si="11"/>
        <v>0</v>
      </c>
      <c r="K28" s="4">
        <f t="shared" ca="1" si="12"/>
        <v>0</v>
      </c>
      <c r="L28" s="4">
        <f t="shared" ca="1" si="13"/>
        <v>0</v>
      </c>
      <c r="M28" s="4">
        <f t="shared" ca="1" si="14"/>
        <v>0</v>
      </c>
      <c r="N28" s="4">
        <f t="shared" ca="1" si="1"/>
        <v>0</v>
      </c>
      <c r="O28" s="4">
        <f t="shared" ca="1" si="2"/>
        <v>0</v>
      </c>
    </row>
    <row r="29" spans="1:15">
      <c r="A29">
        <f t="shared" si="16"/>
        <v>24</v>
      </c>
      <c r="B29">
        <f t="shared" si="3"/>
        <v>24</v>
      </c>
      <c r="C29" s="3">
        <f t="shared" si="4"/>
        <v>91.08</v>
      </c>
      <c r="D29" s="4">
        <f t="shared" ca="1" si="5"/>
        <v>0</v>
      </c>
      <c r="E29" s="4">
        <f t="shared" ca="1" si="6"/>
        <v>0</v>
      </c>
      <c r="F29" s="4">
        <f t="shared" ca="1" si="7"/>
        <v>0</v>
      </c>
      <c r="G29" s="4">
        <f t="shared" ca="1" si="8"/>
        <v>0</v>
      </c>
      <c r="H29" s="4">
        <f t="shared" si="9"/>
        <v>0</v>
      </c>
      <c r="I29" s="4">
        <f t="shared" ca="1" si="10"/>
        <v>0</v>
      </c>
      <c r="J29" s="4">
        <f t="shared" ca="1" si="11"/>
        <v>0</v>
      </c>
      <c r="K29" s="4">
        <f t="shared" ca="1" si="12"/>
        <v>0</v>
      </c>
      <c r="L29" s="4">
        <f t="shared" ca="1" si="13"/>
        <v>0</v>
      </c>
      <c r="M29" s="4">
        <f t="shared" ca="1" si="14"/>
        <v>0</v>
      </c>
      <c r="N29" s="4">
        <f t="shared" ca="1" si="1"/>
        <v>0</v>
      </c>
      <c r="O29" s="4">
        <f t="shared" ca="1" si="2"/>
        <v>0</v>
      </c>
    </row>
    <row r="30" spans="1:15">
      <c r="A30">
        <f t="shared" si="16"/>
        <v>25</v>
      </c>
      <c r="B30">
        <f t="shared" si="3"/>
        <v>25</v>
      </c>
      <c r="C30" s="3">
        <f t="shared" si="4"/>
        <v>90.708333333333329</v>
      </c>
      <c r="D30" s="4">
        <f t="shared" ca="1" si="5"/>
        <v>0</v>
      </c>
      <c r="E30" s="4">
        <f t="shared" ca="1" si="6"/>
        <v>0</v>
      </c>
      <c r="F30" s="4">
        <f t="shared" ca="1" si="7"/>
        <v>0</v>
      </c>
      <c r="G30" s="4">
        <f t="shared" ca="1" si="8"/>
        <v>0</v>
      </c>
      <c r="H30" s="4">
        <f t="shared" si="9"/>
        <v>0</v>
      </c>
      <c r="I30" s="4">
        <f t="shared" ca="1" si="10"/>
        <v>0</v>
      </c>
      <c r="J30" s="4">
        <f t="shared" ca="1" si="11"/>
        <v>0</v>
      </c>
      <c r="K30" s="4">
        <f t="shared" ca="1" si="12"/>
        <v>0</v>
      </c>
      <c r="L30" s="4">
        <f t="shared" ca="1" si="13"/>
        <v>0</v>
      </c>
      <c r="M30" s="4">
        <f t="shared" ca="1" si="14"/>
        <v>0</v>
      </c>
      <c r="N30" s="4">
        <f t="shared" ca="1" si="1"/>
        <v>0</v>
      </c>
      <c r="O30" s="4">
        <f t="shared" ca="1" si="2"/>
        <v>0</v>
      </c>
    </row>
    <row r="31" spans="1:15">
      <c r="A31">
        <f t="shared" si="16"/>
        <v>26</v>
      </c>
      <c r="B31">
        <f t="shared" si="3"/>
        <v>26</v>
      </c>
      <c r="C31" s="3">
        <f t="shared" si="4"/>
        <v>90.336666666666659</v>
      </c>
      <c r="D31" s="4">
        <f t="shared" ca="1" si="5"/>
        <v>0</v>
      </c>
      <c r="E31" s="4">
        <f t="shared" ca="1" si="6"/>
        <v>0</v>
      </c>
      <c r="F31" s="4">
        <f t="shared" ca="1" si="7"/>
        <v>0</v>
      </c>
      <c r="G31" s="4">
        <f t="shared" ca="1" si="8"/>
        <v>0</v>
      </c>
      <c r="H31" s="4">
        <f t="shared" si="9"/>
        <v>0</v>
      </c>
      <c r="I31" s="4">
        <f t="shared" ca="1" si="10"/>
        <v>0</v>
      </c>
      <c r="J31" s="4">
        <f t="shared" ca="1" si="11"/>
        <v>0</v>
      </c>
      <c r="K31" s="4">
        <f t="shared" ca="1" si="12"/>
        <v>0</v>
      </c>
      <c r="L31" s="4">
        <f t="shared" ca="1" si="13"/>
        <v>0</v>
      </c>
      <c r="M31" s="4">
        <f t="shared" ca="1" si="14"/>
        <v>0</v>
      </c>
      <c r="N31" s="4">
        <f t="shared" ca="1" si="1"/>
        <v>0</v>
      </c>
      <c r="O31" s="4">
        <f t="shared" ca="1" si="2"/>
        <v>0</v>
      </c>
    </row>
    <row r="32" spans="1:15">
      <c r="A32">
        <f t="shared" si="16"/>
        <v>27</v>
      </c>
      <c r="B32">
        <f t="shared" si="3"/>
        <v>27</v>
      </c>
      <c r="C32" s="3">
        <f t="shared" si="4"/>
        <v>89.964999999999989</v>
      </c>
      <c r="D32" s="4">
        <f t="shared" ca="1" si="5"/>
        <v>0</v>
      </c>
      <c r="E32" s="4">
        <f t="shared" ca="1" si="6"/>
        <v>0</v>
      </c>
      <c r="F32" s="4">
        <f t="shared" ca="1" si="7"/>
        <v>0</v>
      </c>
      <c r="G32" s="4">
        <f t="shared" ca="1" si="8"/>
        <v>0</v>
      </c>
      <c r="H32" s="4">
        <f t="shared" si="9"/>
        <v>0</v>
      </c>
      <c r="I32" s="4">
        <f t="shared" ca="1" si="10"/>
        <v>0</v>
      </c>
      <c r="J32" s="4">
        <f t="shared" ca="1" si="11"/>
        <v>0</v>
      </c>
      <c r="K32" s="4">
        <f t="shared" ca="1" si="12"/>
        <v>0</v>
      </c>
      <c r="L32" s="4">
        <f t="shared" ca="1" si="13"/>
        <v>0</v>
      </c>
      <c r="M32" s="4">
        <f t="shared" ca="1" si="14"/>
        <v>0</v>
      </c>
      <c r="N32" s="4">
        <f t="shared" ca="1" si="1"/>
        <v>0</v>
      </c>
      <c r="O32" s="4">
        <f t="shared" ca="1" si="2"/>
        <v>0</v>
      </c>
    </row>
    <row r="33" spans="1:15">
      <c r="A33">
        <f t="shared" si="16"/>
        <v>28</v>
      </c>
      <c r="B33">
        <f t="shared" si="3"/>
        <v>28</v>
      </c>
      <c r="C33" s="3">
        <f t="shared" si="4"/>
        <v>89.593333333333334</v>
      </c>
      <c r="D33" s="4">
        <f t="shared" ca="1" si="5"/>
        <v>0</v>
      </c>
      <c r="E33" s="4">
        <f t="shared" ca="1" si="6"/>
        <v>0</v>
      </c>
      <c r="F33" s="4">
        <f t="shared" ca="1" si="7"/>
        <v>0</v>
      </c>
      <c r="G33" s="4">
        <f t="shared" ca="1" si="8"/>
        <v>0</v>
      </c>
      <c r="H33" s="4">
        <f t="shared" si="9"/>
        <v>0</v>
      </c>
      <c r="I33" s="4">
        <f t="shared" ca="1" si="10"/>
        <v>0</v>
      </c>
      <c r="J33" s="4">
        <f t="shared" ca="1" si="11"/>
        <v>0</v>
      </c>
      <c r="K33" s="4">
        <f t="shared" ca="1" si="12"/>
        <v>0</v>
      </c>
      <c r="L33" s="4">
        <f t="shared" ca="1" si="13"/>
        <v>0</v>
      </c>
      <c r="M33" s="4">
        <f t="shared" ca="1" si="14"/>
        <v>0</v>
      </c>
      <c r="N33" s="4">
        <f t="shared" ca="1" si="1"/>
        <v>0</v>
      </c>
      <c r="O33" s="4">
        <f t="shared" ca="1" si="2"/>
        <v>0</v>
      </c>
    </row>
    <row r="34" spans="1:15">
      <c r="A34">
        <f t="shared" si="16"/>
        <v>29</v>
      </c>
      <c r="B34">
        <f t="shared" si="3"/>
        <v>29</v>
      </c>
      <c r="C34" s="3">
        <f t="shared" si="4"/>
        <v>89.221666666666664</v>
      </c>
      <c r="D34" s="4">
        <f t="shared" ca="1" si="5"/>
        <v>0</v>
      </c>
      <c r="E34" s="4">
        <f t="shared" ca="1" si="6"/>
        <v>0</v>
      </c>
      <c r="F34" s="4">
        <f t="shared" ca="1" si="7"/>
        <v>0</v>
      </c>
      <c r="G34" s="4">
        <f t="shared" ca="1" si="8"/>
        <v>0</v>
      </c>
      <c r="H34" s="4">
        <f t="shared" si="9"/>
        <v>0</v>
      </c>
      <c r="I34" s="4">
        <f t="shared" ca="1" si="10"/>
        <v>0</v>
      </c>
      <c r="J34" s="4">
        <f t="shared" ca="1" si="11"/>
        <v>0</v>
      </c>
      <c r="K34" s="4">
        <f t="shared" ca="1" si="12"/>
        <v>0</v>
      </c>
      <c r="L34" s="4">
        <f t="shared" ca="1" si="13"/>
        <v>0</v>
      </c>
      <c r="M34" s="4">
        <f t="shared" ca="1" si="14"/>
        <v>0</v>
      </c>
      <c r="N34" s="4">
        <f t="shared" ca="1" si="1"/>
        <v>0</v>
      </c>
      <c r="O34" s="4">
        <f t="shared" ca="1" si="2"/>
        <v>0</v>
      </c>
    </row>
    <row r="35" spans="1:15">
      <c r="A35">
        <f t="shared" si="16"/>
        <v>30</v>
      </c>
      <c r="B35">
        <f t="shared" si="3"/>
        <v>30</v>
      </c>
      <c r="C35" s="3">
        <f t="shared" si="4"/>
        <v>88.85</v>
      </c>
      <c r="D35" s="4">
        <f t="shared" ca="1" si="5"/>
        <v>0</v>
      </c>
      <c r="E35" s="4">
        <f t="shared" ca="1" si="6"/>
        <v>0</v>
      </c>
      <c r="F35" s="4">
        <f t="shared" ca="1" si="7"/>
        <v>0</v>
      </c>
      <c r="G35" s="4">
        <f t="shared" ca="1" si="8"/>
        <v>0</v>
      </c>
      <c r="H35" s="4">
        <f t="shared" si="9"/>
        <v>0</v>
      </c>
      <c r="I35" s="4">
        <f t="shared" ca="1" si="10"/>
        <v>0</v>
      </c>
      <c r="J35" s="4">
        <f t="shared" ca="1" si="11"/>
        <v>0</v>
      </c>
      <c r="K35" s="4">
        <f t="shared" ca="1" si="12"/>
        <v>0</v>
      </c>
      <c r="L35" s="4">
        <f t="shared" ca="1" si="13"/>
        <v>0</v>
      </c>
      <c r="M35" s="4">
        <f t="shared" ca="1" si="14"/>
        <v>0</v>
      </c>
      <c r="N35" s="4">
        <f t="shared" ca="1" si="1"/>
        <v>0</v>
      </c>
      <c r="O35" s="4">
        <f t="shared" ca="1" si="2"/>
        <v>0</v>
      </c>
    </row>
    <row r="36" spans="1:15">
      <c r="A36">
        <f t="shared" si="16"/>
        <v>31</v>
      </c>
      <c r="B36" t="str">
        <f t="shared" si="3"/>
        <v/>
      </c>
      <c r="C36" s="3">
        <f t="shared" si="4"/>
        <v>0</v>
      </c>
      <c r="D36" s="4">
        <f t="shared" ca="1" si="5"/>
        <v>0</v>
      </c>
      <c r="E36" s="4">
        <f t="shared" ca="1" si="6"/>
        <v>0</v>
      </c>
      <c r="F36" s="4">
        <f t="shared" ca="1" si="7"/>
        <v>0</v>
      </c>
      <c r="G36" s="4">
        <f t="shared" ca="1" si="8"/>
        <v>0</v>
      </c>
      <c r="H36" s="4">
        <f t="shared" si="9"/>
        <v>0</v>
      </c>
      <c r="I36" s="4">
        <f t="shared" ca="1" si="10"/>
        <v>0</v>
      </c>
      <c r="J36" s="4">
        <f t="shared" ca="1" si="11"/>
        <v>0</v>
      </c>
      <c r="K36" s="4">
        <f t="shared" ca="1" si="12"/>
        <v>0</v>
      </c>
      <c r="L36" s="4">
        <f t="shared" ca="1" si="13"/>
        <v>0</v>
      </c>
      <c r="M36" s="4">
        <f t="shared" ca="1" si="14"/>
        <v>0</v>
      </c>
      <c r="N36" s="4" t="str">
        <f t="shared" ref="N36" si="17">IF(ISNUMBER(B36),IF(L36&lt;0,L36,0),"")</f>
        <v/>
      </c>
      <c r="O36" s="4" t="str">
        <f t="shared" ref="O36" si="18">IF(ISNUMBER(B36),IF(L36&gt;0,L36,0),"")</f>
        <v/>
      </c>
    </row>
    <row r="37" spans="1:15">
      <c r="A37">
        <f t="shared" si="16"/>
        <v>32</v>
      </c>
      <c r="B37" t="str">
        <f t="shared" si="3"/>
        <v/>
      </c>
      <c r="C37" s="3">
        <f t="shared" si="4"/>
        <v>0</v>
      </c>
      <c r="D37" s="4">
        <f t="shared" ca="1" si="5"/>
        <v>0</v>
      </c>
      <c r="E37" s="4">
        <f t="shared" ca="1" si="6"/>
        <v>0</v>
      </c>
      <c r="F37" s="4">
        <f t="shared" ca="1" si="7"/>
        <v>0</v>
      </c>
      <c r="G37" s="4">
        <f t="shared" ca="1" si="8"/>
        <v>0</v>
      </c>
      <c r="H37" s="4">
        <f t="shared" si="9"/>
        <v>0</v>
      </c>
      <c r="I37" s="4">
        <f t="shared" ca="1" si="10"/>
        <v>0</v>
      </c>
      <c r="J37" s="4">
        <f t="shared" ca="1" si="11"/>
        <v>0</v>
      </c>
      <c r="K37" s="4">
        <f t="shared" ca="1" si="12"/>
        <v>0</v>
      </c>
      <c r="L37" s="4">
        <f t="shared" ca="1" si="13"/>
        <v>0</v>
      </c>
      <c r="M37" s="4">
        <f t="shared" ca="1" si="14"/>
        <v>0</v>
      </c>
      <c r="N37" s="4" t="str">
        <f t="shared" ref="N37:N68" si="19">IF(ISNUMBER(B37),IF(L37&lt;0,L37,0),"")</f>
        <v/>
      </c>
      <c r="O37" s="4" t="str">
        <f t="shared" ref="O37:O68" si="20">IF(ISNUMBER(B37),IF(L37&gt;0,L37,0),"")</f>
        <v/>
      </c>
    </row>
    <row r="38" spans="1:15">
      <c r="A38">
        <f t="shared" si="16"/>
        <v>33</v>
      </c>
      <c r="B38" t="str">
        <f t="shared" ref="B38:B69" si="21">IF(A38&lt;=_Lebensdauer,A38,"")</f>
        <v/>
      </c>
      <c r="C38" s="3">
        <f t="shared" ref="C38:C69" si="22">IF(ISNUMBER(B38),$C$5-B38*_Degradation_pro_Jahr_Standard,0)</f>
        <v>0</v>
      </c>
      <c r="D38" s="4">
        <f t="shared" ref="D38:D69" ca="1" si="23">_Ertrag_max*C38/100</f>
        <v>0</v>
      </c>
      <c r="E38" s="4">
        <f t="shared" ref="E38:E69" ca="1" si="24">D38*_ENG_Rechenwert/100</f>
        <v>0</v>
      </c>
      <c r="F38" s="4">
        <f t="shared" ref="F38:F69" ca="1" si="25">(D38-E38)*_Tarif_Rücklieferung/100</f>
        <v>0</v>
      </c>
      <c r="G38" s="4">
        <f t="shared" ref="G38:G69" ca="1" si="26">E38*_Tarif_Bezug/100</f>
        <v>0</v>
      </c>
      <c r="H38" s="4">
        <f t="shared" ref="H38:H69" si="27">IF(_EIV_t=B38,-_EIV_Max_Rechenwert,0)+IF(_EF_t=B38,-_EF_Max_Rechenwert,0)</f>
        <v>0</v>
      </c>
      <c r="I38" s="4">
        <f t="shared" ref="I38:I69" ca="1" si="28">-D38*_Tarif_Unterhalt_Rechenwert/100</f>
        <v>0</v>
      </c>
      <c r="J38" s="4">
        <f t="shared" ref="J38:J69" ca="1" si="29">IF(L37&lt;0,L37*_Kap_Verzinsung/100,0)</f>
        <v>0</v>
      </c>
      <c r="K38" s="4">
        <f t="shared" ref="K38:K69" ca="1" si="30">SUM(F38:J38)</f>
        <v>0</v>
      </c>
      <c r="L38" s="4">
        <f t="shared" ref="L38:L69" ca="1" si="31">L37+K38</f>
        <v>0</v>
      </c>
      <c r="M38" s="4">
        <f t="shared" ref="M38:M69" ca="1" si="32">IF(AND(L37&lt;0,L38&gt;=0),B38,0)</f>
        <v>0</v>
      </c>
      <c r="N38" s="4" t="str">
        <f t="shared" si="19"/>
        <v/>
      </c>
      <c r="O38" s="4" t="str">
        <f t="shared" si="20"/>
        <v/>
      </c>
    </row>
    <row r="39" spans="1:15">
      <c r="A39">
        <f t="shared" si="16"/>
        <v>34</v>
      </c>
      <c r="B39" t="str">
        <f t="shared" si="21"/>
        <v/>
      </c>
      <c r="C39" s="3">
        <f t="shared" si="22"/>
        <v>0</v>
      </c>
      <c r="D39" s="4">
        <f t="shared" ca="1" si="23"/>
        <v>0</v>
      </c>
      <c r="E39" s="4">
        <f t="shared" ca="1" si="24"/>
        <v>0</v>
      </c>
      <c r="F39" s="4">
        <f t="shared" ca="1" si="25"/>
        <v>0</v>
      </c>
      <c r="G39" s="4">
        <f t="shared" ca="1" si="26"/>
        <v>0</v>
      </c>
      <c r="H39" s="4">
        <f t="shared" si="27"/>
        <v>0</v>
      </c>
      <c r="I39" s="4">
        <f t="shared" ca="1" si="28"/>
        <v>0</v>
      </c>
      <c r="J39" s="4">
        <f t="shared" ca="1" si="29"/>
        <v>0</v>
      </c>
      <c r="K39" s="4">
        <f t="shared" ca="1" si="30"/>
        <v>0</v>
      </c>
      <c r="L39" s="4">
        <f t="shared" ca="1" si="31"/>
        <v>0</v>
      </c>
      <c r="M39" s="4">
        <f t="shared" ca="1" si="32"/>
        <v>0</v>
      </c>
      <c r="N39" s="4" t="str">
        <f t="shared" si="19"/>
        <v/>
      </c>
      <c r="O39" s="4" t="str">
        <f t="shared" si="20"/>
        <v/>
      </c>
    </row>
    <row r="40" spans="1:15">
      <c r="A40">
        <f t="shared" si="16"/>
        <v>35</v>
      </c>
      <c r="B40" t="str">
        <f t="shared" si="21"/>
        <v/>
      </c>
      <c r="C40" s="3">
        <f t="shared" si="22"/>
        <v>0</v>
      </c>
      <c r="D40" s="4">
        <f t="shared" ca="1" si="23"/>
        <v>0</v>
      </c>
      <c r="E40" s="4">
        <f t="shared" ca="1" si="24"/>
        <v>0</v>
      </c>
      <c r="F40" s="4">
        <f t="shared" ca="1" si="25"/>
        <v>0</v>
      </c>
      <c r="G40" s="4">
        <f t="shared" ca="1" si="26"/>
        <v>0</v>
      </c>
      <c r="H40" s="4">
        <f t="shared" si="27"/>
        <v>0</v>
      </c>
      <c r="I40" s="4">
        <f t="shared" ca="1" si="28"/>
        <v>0</v>
      </c>
      <c r="J40" s="4">
        <f t="shared" ca="1" si="29"/>
        <v>0</v>
      </c>
      <c r="K40" s="4">
        <f t="shared" ca="1" si="30"/>
        <v>0</v>
      </c>
      <c r="L40" s="4">
        <f t="shared" ca="1" si="31"/>
        <v>0</v>
      </c>
      <c r="M40" s="4">
        <f t="shared" ca="1" si="32"/>
        <v>0</v>
      </c>
      <c r="N40" s="4" t="str">
        <f t="shared" si="19"/>
        <v/>
      </c>
      <c r="O40" s="4" t="str">
        <f t="shared" si="20"/>
        <v/>
      </c>
    </row>
    <row r="41" spans="1:15">
      <c r="A41">
        <f t="shared" si="16"/>
        <v>36</v>
      </c>
      <c r="B41" t="str">
        <f t="shared" si="21"/>
        <v/>
      </c>
      <c r="C41" s="3">
        <f t="shared" si="22"/>
        <v>0</v>
      </c>
      <c r="D41" s="4">
        <f t="shared" ca="1" si="23"/>
        <v>0</v>
      </c>
      <c r="E41" s="4">
        <f t="shared" ca="1" si="24"/>
        <v>0</v>
      </c>
      <c r="F41" s="4">
        <f t="shared" ca="1" si="25"/>
        <v>0</v>
      </c>
      <c r="G41" s="4">
        <f t="shared" ca="1" si="26"/>
        <v>0</v>
      </c>
      <c r="H41" s="4">
        <f t="shared" si="27"/>
        <v>0</v>
      </c>
      <c r="I41" s="4">
        <f t="shared" ca="1" si="28"/>
        <v>0</v>
      </c>
      <c r="J41" s="4">
        <f t="shared" ca="1" si="29"/>
        <v>0</v>
      </c>
      <c r="K41" s="4">
        <f t="shared" ca="1" si="30"/>
        <v>0</v>
      </c>
      <c r="L41" s="4">
        <f t="shared" ca="1" si="31"/>
        <v>0</v>
      </c>
      <c r="M41" s="4">
        <f t="shared" ca="1" si="32"/>
        <v>0</v>
      </c>
      <c r="N41" s="4" t="str">
        <f t="shared" si="19"/>
        <v/>
      </c>
      <c r="O41" s="4" t="str">
        <f t="shared" si="20"/>
        <v/>
      </c>
    </row>
    <row r="42" spans="1:15">
      <c r="A42">
        <f t="shared" si="16"/>
        <v>37</v>
      </c>
      <c r="B42" t="str">
        <f t="shared" si="21"/>
        <v/>
      </c>
      <c r="C42" s="3">
        <f t="shared" si="22"/>
        <v>0</v>
      </c>
      <c r="D42" s="4">
        <f t="shared" ca="1" si="23"/>
        <v>0</v>
      </c>
      <c r="E42" s="4">
        <f t="shared" ca="1" si="24"/>
        <v>0</v>
      </c>
      <c r="F42" s="4">
        <f t="shared" ca="1" si="25"/>
        <v>0</v>
      </c>
      <c r="G42" s="4">
        <f t="shared" ca="1" si="26"/>
        <v>0</v>
      </c>
      <c r="H42" s="4">
        <f t="shared" si="27"/>
        <v>0</v>
      </c>
      <c r="I42" s="4">
        <f t="shared" ca="1" si="28"/>
        <v>0</v>
      </c>
      <c r="J42" s="4">
        <f t="shared" ca="1" si="29"/>
        <v>0</v>
      </c>
      <c r="K42" s="4">
        <f t="shared" ca="1" si="30"/>
        <v>0</v>
      </c>
      <c r="L42" s="4">
        <f t="shared" ca="1" si="31"/>
        <v>0</v>
      </c>
      <c r="M42" s="4">
        <f t="shared" ca="1" si="32"/>
        <v>0</v>
      </c>
      <c r="N42" s="4" t="str">
        <f t="shared" si="19"/>
        <v/>
      </c>
      <c r="O42" s="4" t="str">
        <f t="shared" si="20"/>
        <v/>
      </c>
    </row>
    <row r="43" spans="1:15">
      <c r="A43">
        <f t="shared" si="16"/>
        <v>38</v>
      </c>
      <c r="B43" t="str">
        <f t="shared" si="21"/>
        <v/>
      </c>
      <c r="C43" s="3">
        <f t="shared" si="22"/>
        <v>0</v>
      </c>
      <c r="D43" s="4">
        <f t="shared" ca="1" si="23"/>
        <v>0</v>
      </c>
      <c r="E43" s="4">
        <f t="shared" ca="1" si="24"/>
        <v>0</v>
      </c>
      <c r="F43" s="4">
        <f t="shared" ca="1" si="25"/>
        <v>0</v>
      </c>
      <c r="G43" s="4">
        <f t="shared" ca="1" si="26"/>
        <v>0</v>
      </c>
      <c r="H43" s="4">
        <f t="shared" si="27"/>
        <v>0</v>
      </c>
      <c r="I43" s="4">
        <f t="shared" ca="1" si="28"/>
        <v>0</v>
      </c>
      <c r="J43" s="4">
        <f t="shared" ca="1" si="29"/>
        <v>0</v>
      </c>
      <c r="K43" s="4">
        <f t="shared" ca="1" si="30"/>
        <v>0</v>
      </c>
      <c r="L43" s="4">
        <f t="shared" ca="1" si="31"/>
        <v>0</v>
      </c>
      <c r="M43" s="4">
        <f t="shared" ca="1" si="32"/>
        <v>0</v>
      </c>
      <c r="N43" s="4" t="str">
        <f t="shared" si="19"/>
        <v/>
      </c>
      <c r="O43" s="4" t="str">
        <f t="shared" si="20"/>
        <v/>
      </c>
    </row>
    <row r="44" spans="1:15">
      <c r="A44">
        <f t="shared" si="16"/>
        <v>39</v>
      </c>
      <c r="B44" t="str">
        <f t="shared" si="21"/>
        <v/>
      </c>
      <c r="C44" s="3">
        <f t="shared" si="22"/>
        <v>0</v>
      </c>
      <c r="D44" s="4">
        <f t="shared" ca="1" si="23"/>
        <v>0</v>
      </c>
      <c r="E44" s="4">
        <f t="shared" ca="1" si="24"/>
        <v>0</v>
      </c>
      <c r="F44" s="4">
        <f t="shared" ca="1" si="25"/>
        <v>0</v>
      </c>
      <c r="G44" s="4">
        <f t="shared" ca="1" si="26"/>
        <v>0</v>
      </c>
      <c r="H44" s="4">
        <f t="shared" si="27"/>
        <v>0</v>
      </c>
      <c r="I44" s="4">
        <f t="shared" ca="1" si="28"/>
        <v>0</v>
      </c>
      <c r="J44" s="4">
        <f t="shared" ca="1" si="29"/>
        <v>0</v>
      </c>
      <c r="K44" s="4">
        <f t="shared" ca="1" si="30"/>
        <v>0</v>
      </c>
      <c r="L44" s="4">
        <f t="shared" ca="1" si="31"/>
        <v>0</v>
      </c>
      <c r="M44" s="4">
        <f t="shared" ca="1" si="32"/>
        <v>0</v>
      </c>
      <c r="N44" s="4" t="str">
        <f t="shared" si="19"/>
        <v/>
      </c>
      <c r="O44" s="4" t="str">
        <f t="shared" si="20"/>
        <v/>
      </c>
    </row>
    <row r="45" spans="1:15">
      <c r="A45">
        <f t="shared" si="16"/>
        <v>40</v>
      </c>
      <c r="B45" t="str">
        <f t="shared" si="21"/>
        <v/>
      </c>
      <c r="C45" s="3">
        <f t="shared" si="22"/>
        <v>0</v>
      </c>
      <c r="D45" s="4">
        <f t="shared" ca="1" si="23"/>
        <v>0</v>
      </c>
      <c r="E45" s="4">
        <f t="shared" ca="1" si="24"/>
        <v>0</v>
      </c>
      <c r="F45" s="4">
        <f t="shared" ca="1" si="25"/>
        <v>0</v>
      </c>
      <c r="G45" s="4">
        <f t="shared" ca="1" si="26"/>
        <v>0</v>
      </c>
      <c r="H45" s="4">
        <f t="shared" si="27"/>
        <v>0</v>
      </c>
      <c r="I45" s="4">
        <f t="shared" ca="1" si="28"/>
        <v>0</v>
      </c>
      <c r="J45" s="4">
        <f t="shared" ca="1" si="29"/>
        <v>0</v>
      </c>
      <c r="K45" s="4">
        <f t="shared" ca="1" si="30"/>
        <v>0</v>
      </c>
      <c r="L45" s="4">
        <f t="shared" ca="1" si="31"/>
        <v>0</v>
      </c>
      <c r="M45" s="4">
        <f t="shared" ca="1" si="32"/>
        <v>0</v>
      </c>
      <c r="N45" s="4" t="str">
        <f t="shared" si="19"/>
        <v/>
      </c>
      <c r="O45" s="4" t="str">
        <f t="shared" si="20"/>
        <v/>
      </c>
    </row>
    <row r="46" spans="1:15">
      <c r="A46">
        <f t="shared" si="16"/>
        <v>41</v>
      </c>
      <c r="B46" t="str">
        <f t="shared" si="21"/>
        <v/>
      </c>
      <c r="C46" s="3">
        <f t="shared" si="22"/>
        <v>0</v>
      </c>
      <c r="D46" s="4">
        <f t="shared" ca="1" si="23"/>
        <v>0</v>
      </c>
      <c r="E46" s="4">
        <f t="shared" ca="1" si="24"/>
        <v>0</v>
      </c>
      <c r="F46" s="4">
        <f t="shared" ca="1" si="25"/>
        <v>0</v>
      </c>
      <c r="G46" s="4">
        <f t="shared" ca="1" si="26"/>
        <v>0</v>
      </c>
      <c r="H46" s="4">
        <f t="shared" si="27"/>
        <v>0</v>
      </c>
      <c r="I46" s="4">
        <f t="shared" ca="1" si="28"/>
        <v>0</v>
      </c>
      <c r="J46" s="4">
        <f t="shared" ca="1" si="29"/>
        <v>0</v>
      </c>
      <c r="K46" s="4">
        <f t="shared" ca="1" si="30"/>
        <v>0</v>
      </c>
      <c r="L46" s="4">
        <f t="shared" ca="1" si="31"/>
        <v>0</v>
      </c>
      <c r="M46" s="4">
        <f t="shared" ca="1" si="32"/>
        <v>0</v>
      </c>
      <c r="N46" s="4" t="str">
        <f t="shared" si="19"/>
        <v/>
      </c>
      <c r="O46" s="4" t="str">
        <f t="shared" si="20"/>
        <v/>
      </c>
    </row>
    <row r="47" spans="1:15">
      <c r="A47">
        <f t="shared" si="16"/>
        <v>42</v>
      </c>
      <c r="B47" t="str">
        <f t="shared" si="21"/>
        <v/>
      </c>
      <c r="C47" s="3">
        <f t="shared" si="22"/>
        <v>0</v>
      </c>
      <c r="D47" s="4">
        <f t="shared" ca="1" si="23"/>
        <v>0</v>
      </c>
      <c r="E47" s="4">
        <f t="shared" ca="1" si="24"/>
        <v>0</v>
      </c>
      <c r="F47" s="4">
        <f t="shared" ca="1" si="25"/>
        <v>0</v>
      </c>
      <c r="G47" s="4">
        <f t="shared" ca="1" si="26"/>
        <v>0</v>
      </c>
      <c r="H47" s="4">
        <f t="shared" si="27"/>
        <v>0</v>
      </c>
      <c r="I47" s="4">
        <f t="shared" ca="1" si="28"/>
        <v>0</v>
      </c>
      <c r="J47" s="4">
        <f t="shared" ca="1" si="29"/>
        <v>0</v>
      </c>
      <c r="K47" s="4">
        <f t="shared" ca="1" si="30"/>
        <v>0</v>
      </c>
      <c r="L47" s="4">
        <f t="shared" ca="1" si="31"/>
        <v>0</v>
      </c>
      <c r="M47" s="4">
        <f t="shared" ca="1" si="32"/>
        <v>0</v>
      </c>
      <c r="N47" s="4" t="str">
        <f t="shared" si="19"/>
        <v/>
      </c>
      <c r="O47" s="4" t="str">
        <f t="shared" si="20"/>
        <v/>
      </c>
    </row>
    <row r="48" spans="1:15">
      <c r="A48">
        <f t="shared" si="16"/>
        <v>43</v>
      </c>
      <c r="B48" t="str">
        <f t="shared" si="21"/>
        <v/>
      </c>
      <c r="C48" s="3">
        <f t="shared" si="22"/>
        <v>0</v>
      </c>
      <c r="D48" s="4">
        <f t="shared" ca="1" si="23"/>
        <v>0</v>
      </c>
      <c r="E48" s="4">
        <f t="shared" ca="1" si="24"/>
        <v>0</v>
      </c>
      <c r="F48" s="4">
        <f t="shared" ca="1" si="25"/>
        <v>0</v>
      </c>
      <c r="G48" s="4">
        <f t="shared" ca="1" si="26"/>
        <v>0</v>
      </c>
      <c r="H48" s="4">
        <f t="shared" si="27"/>
        <v>0</v>
      </c>
      <c r="I48" s="4">
        <f t="shared" ca="1" si="28"/>
        <v>0</v>
      </c>
      <c r="J48" s="4">
        <f t="shared" ca="1" si="29"/>
        <v>0</v>
      </c>
      <c r="K48" s="4">
        <f t="shared" ca="1" si="30"/>
        <v>0</v>
      </c>
      <c r="L48" s="4">
        <f t="shared" ca="1" si="31"/>
        <v>0</v>
      </c>
      <c r="M48" s="4">
        <f t="shared" ca="1" si="32"/>
        <v>0</v>
      </c>
      <c r="N48" s="4" t="str">
        <f t="shared" si="19"/>
        <v/>
      </c>
      <c r="O48" s="4" t="str">
        <f t="shared" si="20"/>
        <v/>
      </c>
    </row>
    <row r="49" spans="1:15">
      <c r="A49">
        <f t="shared" si="16"/>
        <v>44</v>
      </c>
      <c r="B49" t="str">
        <f t="shared" si="21"/>
        <v/>
      </c>
      <c r="C49" s="3">
        <f t="shared" si="22"/>
        <v>0</v>
      </c>
      <c r="D49" s="4">
        <f t="shared" ca="1" si="23"/>
        <v>0</v>
      </c>
      <c r="E49" s="4">
        <f t="shared" ca="1" si="24"/>
        <v>0</v>
      </c>
      <c r="F49" s="4">
        <f t="shared" ca="1" si="25"/>
        <v>0</v>
      </c>
      <c r="G49" s="4">
        <f t="shared" ca="1" si="26"/>
        <v>0</v>
      </c>
      <c r="H49" s="4">
        <f t="shared" si="27"/>
        <v>0</v>
      </c>
      <c r="I49" s="4">
        <f t="shared" ca="1" si="28"/>
        <v>0</v>
      </c>
      <c r="J49" s="4">
        <f t="shared" ca="1" si="29"/>
        <v>0</v>
      </c>
      <c r="K49" s="4">
        <f t="shared" ca="1" si="30"/>
        <v>0</v>
      </c>
      <c r="L49" s="4">
        <f t="shared" ca="1" si="31"/>
        <v>0</v>
      </c>
      <c r="M49" s="4">
        <f t="shared" ca="1" si="32"/>
        <v>0</v>
      </c>
      <c r="N49" s="4" t="str">
        <f t="shared" si="19"/>
        <v/>
      </c>
      <c r="O49" s="4" t="str">
        <f t="shared" si="20"/>
        <v/>
      </c>
    </row>
    <row r="50" spans="1:15">
      <c r="A50">
        <f t="shared" si="16"/>
        <v>45</v>
      </c>
      <c r="B50" t="str">
        <f t="shared" si="21"/>
        <v/>
      </c>
      <c r="C50" s="3">
        <f t="shared" si="22"/>
        <v>0</v>
      </c>
      <c r="D50" s="4">
        <f t="shared" ca="1" si="23"/>
        <v>0</v>
      </c>
      <c r="E50" s="4">
        <f t="shared" ca="1" si="24"/>
        <v>0</v>
      </c>
      <c r="F50" s="4">
        <f t="shared" ca="1" si="25"/>
        <v>0</v>
      </c>
      <c r="G50" s="4">
        <f t="shared" ca="1" si="26"/>
        <v>0</v>
      </c>
      <c r="H50" s="4">
        <f t="shared" si="27"/>
        <v>0</v>
      </c>
      <c r="I50" s="4">
        <f t="shared" ca="1" si="28"/>
        <v>0</v>
      </c>
      <c r="J50" s="4">
        <f t="shared" ca="1" si="29"/>
        <v>0</v>
      </c>
      <c r="K50" s="4">
        <f t="shared" ca="1" si="30"/>
        <v>0</v>
      </c>
      <c r="L50" s="4">
        <f t="shared" ca="1" si="31"/>
        <v>0</v>
      </c>
      <c r="M50" s="4">
        <f t="shared" ca="1" si="32"/>
        <v>0</v>
      </c>
      <c r="N50" s="4" t="str">
        <f t="shared" si="19"/>
        <v/>
      </c>
      <c r="O50" s="4" t="str">
        <f t="shared" si="20"/>
        <v/>
      </c>
    </row>
    <row r="51" spans="1:15">
      <c r="A51">
        <f t="shared" si="16"/>
        <v>46</v>
      </c>
      <c r="B51" t="str">
        <f t="shared" si="21"/>
        <v/>
      </c>
      <c r="C51" s="3">
        <f t="shared" si="22"/>
        <v>0</v>
      </c>
      <c r="D51" s="4">
        <f t="shared" ca="1" si="23"/>
        <v>0</v>
      </c>
      <c r="E51" s="4">
        <f t="shared" ca="1" si="24"/>
        <v>0</v>
      </c>
      <c r="F51" s="4">
        <f t="shared" ca="1" si="25"/>
        <v>0</v>
      </c>
      <c r="G51" s="4">
        <f t="shared" ca="1" si="26"/>
        <v>0</v>
      </c>
      <c r="H51" s="4">
        <f t="shared" si="27"/>
        <v>0</v>
      </c>
      <c r="I51" s="4">
        <f t="shared" ca="1" si="28"/>
        <v>0</v>
      </c>
      <c r="J51" s="4">
        <f t="shared" ca="1" si="29"/>
        <v>0</v>
      </c>
      <c r="K51" s="4">
        <f t="shared" ca="1" si="30"/>
        <v>0</v>
      </c>
      <c r="L51" s="4">
        <f t="shared" ca="1" si="31"/>
        <v>0</v>
      </c>
      <c r="M51" s="4">
        <f t="shared" ca="1" si="32"/>
        <v>0</v>
      </c>
      <c r="N51" s="4" t="str">
        <f t="shared" si="19"/>
        <v/>
      </c>
      <c r="O51" s="4" t="str">
        <f t="shared" si="20"/>
        <v/>
      </c>
    </row>
    <row r="52" spans="1:15">
      <c r="A52">
        <f t="shared" si="16"/>
        <v>47</v>
      </c>
      <c r="B52" t="str">
        <f t="shared" si="21"/>
        <v/>
      </c>
      <c r="C52" s="3">
        <f t="shared" si="22"/>
        <v>0</v>
      </c>
      <c r="D52" s="4">
        <f t="shared" ca="1" si="23"/>
        <v>0</v>
      </c>
      <c r="E52" s="4">
        <f t="shared" ca="1" si="24"/>
        <v>0</v>
      </c>
      <c r="F52" s="4">
        <f t="shared" ca="1" si="25"/>
        <v>0</v>
      </c>
      <c r="G52" s="4">
        <f t="shared" ca="1" si="26"/>
        <v>0</v>
      </c>
      <c r="H52" s="4">
        <f t="shared" si="27"/>
        <v>0</v>
      </c>
      <c r="I52" s="4">
        <f t="shared" ca="1" si="28"/>
        <v>0</v>
      </c>
      <c r="J52" s="4">
        <f t="shared" ca="1" si="29"/>
        <v>0</v>
      </c>
      <c r="K52" s="4">
        <f t="shared" ca="1" si="30"/>
        <v>0</v>
      </c>
      <c r="L52" s="4">
        <f t="shared" ca="1" si="31"/>
        <v>0</v>
      </c>
      <c r="M52" s="4">
        <f t="shared" ca="1" si="32"/>
        <v>0</v>
      </c>
      <c r="N52" s="4" t="str">
        <f t="shared" si="19"/>
        <v/>
      </c>
      <c r="O52" s="4" t="str">
        <f t="shared" si="20"/>
        <v/>
      </c>
    </row>
    <row r="53" spans="1:15">
      <c r="A53">
        <f t="shared" si="16"/>
        <v>48</v>
      </c>
      <c r="B53" t="str">
        <f t="shared" si="21"/>
        <v/>
      </c>
      <c r="C53" s="3">
        <f t="shared" si="22"/>
        <v>0</v>
      </c>
      <c r="D53" s="4">
        <f t="shared" ca="1" si="23"/>
        <v>0</v>
      </c>
      <c r="E53" s="4">
        <f t="shared" ca="1" si="24"/>
        <v>0</v>
      </c>
      <c r="F53" s="4">
        <f t="shared" ca="1" si="25"/>
        <v>0</v>
      </c>
      <c r="G53" s="4">
        <f t="shared" ca="1" si="26"/>
        <v>0</v>
      </c>
      <c r="H53" s="4">
        <f t="shared" si="27"/>
        <v>0</v>
      </c>
      <c r="I53" s="4">
        <f t="shared" ca="1" si="28"/>
        <v>0</v>
      </c>
      <c r="J53" s="4">
        <f t="shared" ca="1" si="29"/>
        <v>0</v>
      </c>
      <c r="K53" s="4">
        <f t="shared" ca="1" si="30"/>
        <v>0</v>
      </c>
      <c r="L53" s="4">
        <f t="shared" ca="1" si="31"/>
        <v>0</v>
      </c>
      <c r="M53" s="4">
        <f t="shared" ca="1" si="32"/>
        <v>0</v>
      </c>
      <c r="N53" s="4" t="str">
        <f t="shared" si="19"/>
        <v/>
      </c>
      <c r="O53" s="4" t="str">
        <f t="shared" si="20"/>
        <v/>
      </c>
    </row>
    <row r="54" spans="1:15">
      <c r="A54">
        <f t="shared" si="16"/>
        <v>49</v>
      </c>
      <c r="B54" t="str">
        <f t="shared" si="21"/>
        <v/>
      </c>
      <c r="C54" s="3">
        <f t="shared" si="22"/>
        <v>0</v>
      </c>
      <c r="D54" s="4">
        <f t="shared" ca="1" si="23"/>
        <v>0</v>
      </c>
      <c r="E54" s="4">
        <f t="shared" ca="1" si="24"/>
        <v>0</v>
      </c>
      <c r="F54" s="4">
        <f t="shared" ca="1" si="25"/>
        <v>0</v>
      </c>
      <c r="G54" s="4">
        <f t="shared" ca="1" si="26"/>
        <v>0</v>
      </c>
      <c r="H54" s="4">
        <f t="shared" si="27"/>
        <v>0</v>
      </c>
      <c r="I54" s="4">
        <f t="shared" ca="1" si="28"/>
        <v>0</v>
      </c>
      <c r="J54" s="4">
        <f t="shared" ca="1" si="29"/>
        <v>0</v>
      </c>
      <c r="K54" s="4">
        <f t="shared" ca="1" si="30"/>
        <v>0</v>
      </c>
      <c r="L54" s="4">
        <f t="shared" ca="1" si="31"/>
        <v>0</v>
      </c>
      <c r="M54" s="4">
        <f t="shared" ca="1" si="32"/>
        <v>0</v>
      </c>
      <c r="N54" s="4" t="str">
        <f t="shared" si="19"/>
        <v/>
      </c>
      <c r="O54" s="4" t="str">
        <f t="shared" si="20"/>
        <v/>
      </c>
    </row>
    <row r="55" spans="1:15">
      <c r="A55">
        <f t="shared" si="16"/>
        <v>50</v>
      </c>
      <c r="B55" t="str">
        <f t="shared" si="21"/>
        <v/>
      </c>
      <c r="C55" s="3">
        <f t="shared" si="22"/>
        <v>0</v>
      </c>
      <c r="D55" s="4">
        <f t="shared" ca="1" si="23"/>
        <v>0</v>
      </c>
      <c r="E55" s="4">
        <f t="shared" ca="1" si="24"/>
        <v>0</v>
      </c>
      <c r="F55" s="4">
        <f t="shared" ca="1" si="25"/>
        <v>0</v>
      </c>
      <c r="G55" s="4">
        <f t="shared" ca="1" si="26"/>
        <v>0</v>
      </c>
      <c r="H55" s="4">
        <f t="shared" si="27"/>
        <v>0</v>
      </c>
      <c r="I55" s="4">
        <f t="shared" ca="1" si="28"/>
        <v>0</v>
      </c>
      <c r="J55" s="4">
        <f t="shared" ca="1" si="29"/>
        <v>0</v>
      </c>
      <c r="K55" s="4">
        <f t="shared" ca="1" si="30"/>
        <v>0</v>
      </c>
      <c r="L55" s="4">
        <f t="shared" ca="1" si="31"/>
        <v>0</v>
      </c>
      <c r="M55" s="4">
        <f t="shared" ca="1" si="32"/>
        <v>0</v>
      </c>
      <c r="N55" s="4" t="str">
        <f t="shared" si="19"/>
        <v/>
      </c>
      <c r="O55" s="4" t="str">
        <f t="shared" si="20"/>
        <v/>
      </c>
    </row>
    <row r="56" spans="1:15">
      <c r="A56">
        <f t="shared" si="16"/>
        <v>51</v>
      </c>
      <c r="B56" t="str">
        <f t="shared" si="21"/>
        <v/>
      </c>
      <c r="C56" s="3">
        <f t="shared" si="22"/>
        <v>0</v>
      </c>
      <c r="D56" s="4">
        <f t="shared" ca="1" si="23"/>
        <v>0</v>
      </c>
      <c r="E56" s="4">
        <f t="shared" ca="1" si="24"/>
        <v>0</v>
      </c>
      <c r="F56" s="4">
        <f t="shared" ca="1" si="25"/>
        <v>0</v>
      </c>
      <c r="G56" s="4">
        <f t="shared" ca="1" si="26"/>
        <v>0</v>
      </c>
      <c r="H56" s="4">
        <f t="shared" si="27"/>
        <v>0</v>
      </c>
      <c r="I56" s="4">
        <f t="shared" ca="1" si="28"/>
        <v>0</v>
      </c>
      <c r="J56" s="4">
        <f t="shared" ca="1" si="29"/>
        <v>0</v>
      </c>
      <c r="K56" s="4">
        <f t="shared" ca="1" si="30"/>
        <v>0</v>
      </c>
      <c r="L56" s="4">
        <f t="shared" ca="1" si="31"/>
        <v>0</v>
      </c>
      <c r="M56" s="4">
        <f t="shared" ca="1" si="32"/>
        <v>0</v>
      </c>
      <c r="N56" s="4" t="str">
        <f t="shared" si="19"/>
        <v/>
      </c>
      <c r="O56" s="4" t="str">
        <f t="shared" si="20"/>
        <v/>
      </c>
    </row>
    <row r="57" spans="1:15">
      <c r="A57">
        <f t="shared" si="16"/>
        <v>52</v>
      </c>
      <c r="B57" t="str">
        <f t="shared" si="21"/>
        <v/>
      </c>
      <c r="C57" s="3">
        <f t="shared" si="22"/>
        <v>0</v>
      </c>
      <c r="D57" s="4">
        <f t="shared" ca="1" si="23"/>
        <v>0</v>
      </c>
      <c r="E57" s="4">
        <f t="shared" ca="1" si="24"/>
        <v>0</v>
      </c>
      <c r="F57" s="4">
        <f t="shared" ca="1" si="25"/>
        <v>0</v>
      </c>
      <c r="G57" s="4">
        <f t="shared" ca="1" si="26"/>
        <v>0</v>
      </c>
      <c r="H57" s="4">
        <f t="shared" si="27"/>
        <v>0</v>
      </c>
      <c r="I57" s="4">
        <f t="shared" ca="1" si="28"/>
        <v>0</v>
      </c>
      <c r="J57" s="4">
        <f t="shared" ca="1" si="29"/>
        <v>0</v>
      </c>
      <c r="K57" s="4">
        <f t="shared" ca="1" si="30"/>
        <v>0</v>
      </c>
      <c r="L57" s="4">
        <f t="shared" ca="1" si="31"/>
        <v>0</v>
      </c>
      <c r="M57" s="4">
        <f t="shared" ca="1" si="32"/>
        <v>0</v>
      </c>
      <c r="N57" s="4" t="str">
        <f t="shared" si="19"/>
        <v/>
      </c>
      <c r="O57" s="4" t="str">
        <f t="shared" si="20"/>
        <v/>
      </c>
    </row>
    <row r="58" spans="1:15">
      <c r="A58">
        <f t="shared" si="16"/>
        <v>53</v>
      </c>
      <c r="B58" t="str">
        <f t="shared" si="21"/>
        <v/>
      </c>
      <c r="C58" s="3">
        <f t="shared" si="22"/>
        <v>0</v>
      </c>
      <c r="D58" s="4">
        <f t="shared" ca="1" si="23"/>
        <v>0</v>
      </c>
      <c r="E58" s="4">
        <f t="shared" ca="1" si="24"/>
        <v>0</v>
      </c>
      <c r="F58" s="4">
        <f t="shared" ca="1" si="25"/>
        <v>0</v>
      </c>
      <c r="G58" s="4">
        <f t="shared" ca="1" si="26"/>
        <v>0</v>
      </c>
      <c r="H58" s="4">
        <f t="shared" si="27"/>
        <v>0</v>
      </c>
      <c r="I58" s="4">
        <f t="shared" ca="1" si="28"/>
        <v>0</v>
      </c>
      <c r="J58" s="4">
        <f t="shared" ca="1" si="29"/>
        <v>0</v>
      </c>
      <c r="K58" s="4">
        <f t="shared" ca="1" si="30"/>
        <v>0</v>
      </c>
      <c r="L58" s="4">
        <f t="shared" ca="1" si="31"/>
        <v>0</v>
      </c>
      <c r="M58" s="4">
        <f t="shared" ca="1" si="32"/>
        <v>0</v>
      </c>
      <c r="N58" s="4" t="str">
        <f t="shared" si="19"/>
        <v/>
      </c>
      <c r="O58" s="4" t="str">
        <f t="shared" si="20"/>
        <v/>
      </c>
    </row>
    <row r="59" spans="1:15">
      <c r="A59">
        <f t="shared" si="16"/>
        <v>54</v>
      </c>
      <c r="B59" t="str">
        <f t="shared" si="21"/>
        <v/>
      </c>
      <c r="C59" s="3">
        <f t="shared" si="22"/>
        <v>0</v>
      </c>
      <c r="D59" s="4">
        <f t="shared" ca="1" si="23"/>
        <v>0</v>
      </c>
      <c r="E59" s="4">
        <f t="shared" ca="1" si="24"/>
        <v>0</v>
      </c>
      <c r="F59" s="4">
        <f t="shared" ca="1" si="25"/>
        <v>0</v>
      </c>
      <c r="G59" s="4">
        <f t="shared" ca="1" si="26"/>
        <v>0</v>
      </c>
      <c r="H59" s="4">
        <f t="shared" si="27"/>
        <v>0</v>
      </c>
      <c r="I59" s="4">
        <f t="shared" ca="1" si="28"/>
        <v>0</v>
      </c>
      <c r="J59" s="4">
        <f t="shared" ca="1" si="29"/>
        <v>0</v>
      </c>
      <c r="K59" s="4">
        <f t="shared" ca="1" si="30"/>
        <v>0</v>
      </c>
      <c r="L59" s="4">
        <f t="shared" ca="1" si="31"/>
        <v>0</v>
      </c>
      <c r="M59" s="4">
        <f t="shared" ca="1" si="32"/>
        <v>0</v>
      </c>
      <c r="N59" s="4" t="str">
        <f t="shared" si="19"/>
        <v/>
      </c>
      <c r="O59" s="4" t="str">
        <f t="shared" si="20"/>
        <v/>
      </c>
    </row>
    <row r="60" spans="1:15">
      <c r="A60">
        <f t="shared" si="16"/>
        <v>55</v>
      </c>
      <c r="B60" t="str">
        <f t="shared" si="21"/>
        <v/>
      </c>
      <c r="C60" s="3">
        <f t="shared" si="22"/>
        <v>0</v>
      </c>
      <c r="D60" s="4">
        <f t="shared" ca="1" si="23"/>
        <v>0</v>
      </c>
      <c r="E60" s="4">
        <f t="shared" ca="1" si="24"/>
        <v>0</v>
      </c>
      <c r="F60" s="4">
        <f t="shared" ca="1" si="25"/>
        <v>0</v>
      </c>
      <c r="G60" s="4">
        <f t="shared" ca="1" si="26"/>
        <v>0</v>
      </c>
      <c r="H60" s="4">
        <f t="shared" si="27"/>
        <v>0</v>
      </c>
      <c r="I60" s="4">
        <f t="shared" ca="1" si="28"/>
        <v>0</v>
      </c>
      <c r="J60" s="4">
        <f t="shared" ca="1" si="29"/>
        <v>0</v>
      </c>
      <c r="K60" s="4">
        <f t="shared" ca="1" si="30"/>
        <v>0</v>
      </c>
      <c r="L60" s="4">
        <f t="shared" ca="1" si="31"/>
        <v>0</v>
      </c>
      <c r="M60" s="4">
        <f t="shared" ca="1" si="32"/>
        <v>0</v>
      </c>
      <c r="N60" s="4" t="str">
        <f t="shared" si="19"/>
        <v/>
      </c>
      <c r="O60" s="4" t="str">
        <f t="shared" si="20"/>
        <v/>
      </c>
    </row>
    <row r="61" spans="1:15">
      <c r="A61">
        <f t="shared" si="16"/>
        <v>56</v>
      </c>
      <c r="B61" t="str">
        <f t="shared" si="21"/>
        <v/>
      </c>
      <c r="C61" s="3">
        <f t="shared" si="22"/>
        <v>0</v>
      </c>
      <c r="D61" s="4">
        <f t="shared" ca="1" si="23"/>
        <v>0</v>
      </c>
      <c r="E61" s="4">
        <f t="shared" ca="1" si="24"/>
        <v>0</v>
      </c>
      <c r="F61" s="4">
        <f t="shared" ca="1" si="25"/>
        <v>0</v>
      </c>
      <c r="G61" s="4">
        <f t="shared" ca="1" si="26"/>
        <v>0</v>
      </c>
      <c r="H61" s="4">
        <f t="shared" si="27"/>
        <v>0</v>
      </c>
      <c r="I61" s="4">
        <f t="shared" ca="1" si="28"/>
        <v>0</v>
      </c>
      <c r="J61" s="4">
        <f t="shared" ca="1" si="29"/>
        <v>0</v>
      </c>
      <c r="K61" s="4">
        <f t="shared" ca="1" si="30"/>
        <v>0</v>
      </c>
      <c r="L61" s="4">
        <f t="shared" ca="1" si="31"/>
        <v>0</v>
      </c>
      <c r="M61" s="4">
        <f t="shared" ca="1" si="32"/>
        <v>0</v>
      </c>
      <c r="N61" s="4" t="str">
        <f t="shared" si="19"/>
        <v/>
      </c>
      <c r="O61" s="4" t="str">
        <f t="shared" si="20"/>
        <v/>
      </c>
    </row>
    <row r="62" spans="1:15">
      <c r="A62">
        <f t="shared" si="16"/>
        <v>57</v>
      </c>
      <c r="B62" t="str">
        <f t="shared" si="21"/>
        <v/>
      </c>
      <c r="C62" s="3">
        <f t="shared" si="22"/>
        <v>0</v>
      </c>
      <c r="D62" s="4">
        <f t="shared" ca="1" si="23"/>
        <v>0</v>
      </c>
      <c r="E62" s="4">
        <f t="shared" ca="1" si="24"/>
        <v>0</v>
      </c>
      <c r="F62" s="4">
        <f t="shared" ca="1" si="25"/>
        <v>0</v>
      </c>
      <c r="G62" s="4">
        <f t="shared" ca="1" si="26"/>
        <v>0</v>
      </c>
      <c r="H62" s="4">
        <f t="shared" si="27"/>
        <v>0</v>
      </c>
      <c r="I62" s="4">
        <f t="shared" ca="1" si="28"/>
        <v>0</v>
      </c>
      <c r="J62" s="4">
        <f t="shared" ca="1" si="29"/>
        <v>0</v>
      </c>
      <c r="K62" s="4">
        <f t="shared" ca="1" si="30"/>
        <v>0</v>
      </c>
      <c r="L62" s="4">
        <f t="shared" ca="1" si="31"/>
        <v>0</v>
      </c>
      <c r="M62" s="4">
        <f t="shared" ca="1" si="32"/>
        <v>0</v>
      </c>
      <c r="N62" s="4" t="str">
        <f t="shared" si="19"/>
        <v/>
      </c>
      <c r="O62" s="4" t="str">
        <f t="shared" si="20"/>
        <v/>
      </c>
    </row>
    <row r="63" spans="1:15">
      <c r="A63">
        <f t="shared" si="16"/>
        <v>58</v>
      </c>
      <c r="B63" t="str">
        <f t="shared" si="21"/>
        <v/>
      </c>
      <c r="C63" s="3">
        <f t="shared" si="22"/>
        <v>0</v>
      </c>
      <c r="D63" s="4">
        <f t="shared" ca="1" si="23"/>
        <v>0</v>
      </c>
      <c r="E63" s="4">
        <f t="shared" ca="1" si="24"/>
        <v>0</v>
      </c>
      <c r="F63" s="4">
        <f t="shared" ca="1" si="25"/>
        <v>0</v>
      </c>
      <c r="G63" s="4">
        <f t="shared" ca="1" si="26"/>
        <v>0</v>
      </c>
      <c r="H63" s="4">
        <f t="shared" si="27"/>
        <v>0</v>
      </c>
      <c r="I63" s="4">
        <f t="shared" ca="1" si="28"/>
        <v>0</v>
      </c>
      <c r="J63" s="4">
        <f t="shared" ca="1" si="29"/>
        <v>0</v>
      </c>
      <c r="K63" s="4">
        <f t="shared" ca="1" si="30"/>
        <v>0</v>
      </c>
      <c r="L63" s="4">
        <f t="shared" ca="1" si="31"/>
        <v>0</v>
      </c>
      <c r="M63" s="4">
        <f t="shared" ca="1" si="32"/>
        <v>0</v>
      </c>
      <c r="N63" s="4" t="str">
        <f t="shared" si="19"/>
        <v/>
      </c>
      <c r="O63" s="4" t="str">
        <f t="shared" si="20"/>
        <v/>
      </c>
    </row>
    <row r="64" spans="1:15">
      <c r="A64">
        <f t="shared" si="16"/>
        <v>59</v>
      </c>
      <c r="B64" t="str">
        <f t="shared" si="21"/>
        <v/>
      </c>
      <c r="C64" s="3">
        <f t="shared" si="22"/>
        <v>0</v>
      </c>
      <c r="D64" s="4">
        <f t="shared" ca="1" si="23"/>
        <v>0</v>
      </c>
      <c r="E64" s="4">
        <f t="shared" ca="1" si="24"/>
        <v>0</v>
      </c>
      <c r="F64" s="4">
        <f t="shared" ca="1" si="25"/>
        <v>0</v>
      </c>
      <c r="G64" s="4">
        <f t="shared" ca="1" si="26"/>
        <v>0</v>
      </c>
      <c r="H64" s="4">
        <f t="shared" si="27"/>
        <v>0</v>
      </c>
      <c r="I64" s="4">
        <f t="shared" ca="1" si="28"/>
        <v>0</v>
      </c>
      <c r="J64" s="4">
        <f t="shared" ca="1" si="29"/>
        <v>0</v>
      </c>
      <c r="K64" s="4">
        <f t="shared" ca="1" si="30"/>
        <v>0</v>
      </c>
      <c r="L64" s="4">
        <f t="shared" ca="1" si="31"/>
        <v>0</v>
      </c>
      <c r="M64" s="4">
        <f t="shared" ca="1" si="32"/>
        <v>0</v>
      </c>
      <c r="N64" s="4" t="str">
        <f t="shared" si="19"/>
        <v/>
      </c>
      <c r="O64" s="4" t="str">
        <f t="shared" si="20"/>
        <v/>
      </c>
    </row>
    <row r="65" spans="1:15">
      <c r="A65">
        <f t="shared" si="16"/>
        <v>60</v>
      </c>
      <c r="B65" t="str">
        <f t="shared" si="21"/>
        <v/>
      </c>
      <c r="C65" s="3">
        <f t="shared" si="22"/>
        <v>0</v>
      </c>
      <c r="D65" s="4">
        <f t="shared" ca="1" si="23"/>
        <v>0</v>
      </c>
      <c r="E65" s="4">
        <f t="shared" ca="1" si="24"/>
        <v>0</v>
      </c>
      <c r="F65" s="4">
        <f t="shared" ca="1" si="25"/>
        <v>0</v>
      </c>
      <c r="G65" s="4">
        <f t="shared" ca="1" si="26"/>
        <v>0</v>
      </c>
      <c r="H65" s="4">
        <f t="shared" si="27"/>
        <v>0</v>
      </c>
      <c r="I65" s="4">
        <f t="shared" ca="1" si="28"/>
        <v>0</v>
      </c>
      <c r="J65" s="4">
        <f t="shared" ca="1" si="29"/>
        <v>0</v>
      </c>
      <c r="K65" s="4">
        <f t="shared" ca="1" si="30"/>
        <v>0</v>
      </c>
      <c r="L65" s="4">
        <f t="shared" ca="1" si="31"/>
        <v>0</v>
      </c>
      <c r="M65" s="4">
        <f t="shared" ca="1" si="32"/>
        <v>0</v>
      </c>
      <c r="N65" s="4" t="str">
        <f t="shared" si="19"/>
        <v/>
      </c>
      <c r="O65" s="4" t="str">
        <f t="shared" si="20"/>
        <v/>
      </c>
    </row>
    <row r="66" spans="1:15">
      <c r="A66">
        <f t="shared" si="16"/>
        <v>61</v>
      </c>
      <c r="B66" t="str">
        <f t="shared" si="21"/>
        <v/>
      </c>
      <c r="C66" s="3">
        <f t="shared" si="22"/>
        <v>0</v>
      </c>
      <c r="D66" s="4">
        <f t="shared" ca="1" si="23"/>
        <v>0</v>
      </c>
      <c r="E66" s="4">
        <f t="shared" ca="1" si="24"/>
        <v>0</v>
      </c>
      <c r="F66" s="4">
        <f t="shared" ca="1" si="25"/>
        <v>0</v>
      </c>
      <c r="G66" s="4">
        <f t="shared" ca="1" si="26"/>
        <v>0</v>
      </c>
      <c r="H66" s="4">
        <f t="shared" si="27"/>
        <v>0</v>
      </c>
      <c r="I66" s="4">
        <f t="shared" ca="1" si="28"/>
        <v>0</v>
      </c>
      <c r="J66" s="4">
        <f t="shared" ca="1" si="29"/>
        <v>0</v>
      </c>
      <c r="K66" s="4">
        <f t="shared" ca="1" si="30"/>
        <v>0</v>
      </c>
      <c r="L66" s="4">
        <f t="shared" ca="1" si="31"/>
        <v>0</v>
      </c>
      <c r="M66" s="4">
        <f t="shared" ca="1" si="32"/>
        <v>0</v>
      </c>
      <c r="N66" s="4" t="str">
        <f t="shared" si="19"/>
        <v/>
      </c>
      <c r="O66" s="4" t="str">
        <f t="shared" si="20"/>
        <v/>
      </c>
    </row>
    <row r="67" spans="1:15">
      <c r="A67">
        <f t="shared" si="16"/>
        <v>62</v>
      </c>
      <c r="B67" t="str">
        <f t="shared" si="21"/>
        <v/>
      </c>
      <c r="C67" s="3">
        <f t="shared" si="22"/>
        <v>0</v>
      </c>
      <c r="D67" s="4">
        <f t="shared" ca="1" si="23"/>
        <v>0</v>
      </c>
      <c r="E67" s="4">
        <f t="shared" ca="1" si="24"/>
        <v>0</v>
      </c>
      <c r="F67" s="4">
        <f t="shared" ca="1" si="25"/>
        <v>0</v>
      </c>
      <c r="G67" s="4">
        <f t="shared" ca="1" si="26"/>
        <v>0</v>
      </c>
      <c r="H67" s="4">
        <f t="shared" si="27"/>
        <v>0</v>
      </c>
      <c r="I67" s="4">
        <f t="shared" ca="1" si="28"/>
        <v>0</v>
      </c>
      <c r="J67" s="4">
        <f t="shared" ca="1" si="29"/>
        <v>0</v>
      </c>
      <c r="K67" s="4">
        <f t="shared" ca="1" si="30"/>
        <v>0</v>
      </c>
      <c r="L67" s="4">
        <f t="shared" ca="1" si="31"/>
        <v>0</v>
      </c>
      <c r="M67" s="4">
        <f t="shared" ca="1" si="32"/>
        <v>0</v>
      </c>
      <c r="N67" s="4" t="str">
        <f t="shared" si="19"/>
        <v/>
      </c>
      <c r="O67" s="4" t="str">
        <f t="shared" si="20"/>
        <v/>
      </c>
    </row>
    <row r="68" spans="1:15">
      <c r="A68">
        <f t="shared" si="16"/>
        <v>63</v>
      </c>
      <c r="B68" t="str">
        <f t="shared" si="21"/>
        <v/>
      </c>
      <c r="C68" s="3">
        <f t="shared" si="22"/>
        <v>0</v>
      </c>
      <c r="D68" s="4">
        <f t="shared" ca="1" si="23"/>
        <v>0</v>
      </c>
      <c r="E68" s="4">
        <f t="shared" ca="1" si="24"/>
        <v>0</v>
      </c>
      <c r="F68" s="4">
        <f t="shared" ca="1" si="25"/>
        <v>0</v>
      </c>
      <c r="G68" s="4">
        <f t="shared" ca="1" si="26"/>
        <v>0</v>
      </c>
      <c r="H68" s="4">
        <f t="shared" si="27"/>
        <v>0</v>
      </c>
      <c r="I68" s="4">
        <f t="shared" ca="1" si="28"/>
        <v>0</v>
      </c>
      <c r="J68" s="4">
        <f t="shared" ca="1" si="29"/>
        <v>0</v>
      </c>
      <c r="K68" s="4">
        <f t="shared" ca="1" si="30"/>
        <v>0</v>
      </c>
      <c r="L68" s="4">
        <f t="shared" ca="1" si="31"/>
        <v>0</v>
      </c>
      <c r="M68" s="4">
        <f t="shared" ca="1" si="32"/>
        <v>0</v>
      </c>
      <c r="N68" s="4" t="str">
        <f t="shared" si="19"/>
        <v/>
      </c>
      <c r="O68" s="4" t="str">
        <f t="shared" si="20"/>
        <v/>
      </c>
    </row>
    <row r="69" spans="1:15">
      <c r="A69">
        <f t="shared" si="16"/>
        <v>64</v>
      </c>
      <c r="B69" t="str">
        <f t="shared" si="21"/>
        <v/>
      </c>
      <c r="C69" s="3">
        <f t="shared" si="22"/>
        <v>0</v>
      </c>
      <c r="D69" s="4">
        <f t="shared" ca="1" si="23"/>
        <v>0</v>
      </c>
      <c r="E69" s="4">
        <f t="shared" ca="1" si="24"/>
        <v>0</v>
      </c>
      <c r="F69" s="4">
        <f t="shared" ca="1" si="25"/>
        <v>0</v>
      </c>
      <c r="G69" s="4">
        <f t="shared" ca="1" si="26"/>
        <v>0</v>
      </c>
      <c r="H69" s="4">
        <f t="shared" si="27"/>
        <v>0</v>
      </c>
      <c r="I69" s="4">
        <f t="shared" ca="1" si="28"/>
        <v>0</v>
      </c>
      <c r="J69" s="4">
        <f t="shared" ca="1" si="29"/>
        <v>0</v>
      </c>
      <c r="K69" s="4">
        <f t="shared" ca="1" si="30"/>
        <v>0</v>
      </c>
      <c r="L69" s="4">
        <f t="shared" ca="1" si="31"/>
        <v>0</v>
      </c>
      <c r="M69" s="4">
        <f t="shared" ca="1" si="32"/>
        <v>0</v>
      </c>
      <c r="N69" s="4" t="str">
        <f t="shared" ref="N69:N105" si="33">IF(ISNUMBER(B69),IF(L69&lt;0,L69,0),"")</f>
        <v/>
      </c>
      <c r="O69" s="4" t="str">
        <f t="shared" ref="O69:O105" si="34">IF(ISNUMBER(B69),IF(L69&gt;0,L69,0),"")</f>
        <v/>
      </c>
    </row>
    <row r="70" spans="1:15">
      <c r="A70">
        <f t="shared" si="16"/>
        <v>65</v>
      </c>
      <c r="B70" t="str">
        <f t="shared" ref="B70:B101" si="35">IF(A70&lt;=_Lebensdauer,A70,"")</f>
        <v/>
      </c>
      <c r="C70" s="3">
        <f t="shared" ref="C70:C101" si="36">IF(ISNUMBER(B70),$C$5-B70*_Degradation_pro_Jahr_Standard,0)</f>
        <v>0</v>
      </c>
      <c r="D70" s="4">
        <f t="shared" ref="D70:D101" ca="1" si="37">_Ertrag_max*C70/100</f>
        <v>0</v>
      </c>
      <c r="E70" s="4">
        <f t="shared" ref="E70:E101" ca="1" si="38">D70*_ENG_Rechenwert/100</f>
        <v>0</v>
      </c>
      <c r="F70" s="4">
        <f t="shared" ref="F70:F101" ca="1" si="39">(D70-E70)*_Tarif_Rücklieferung/100</f>
        <v>0</v>
      </c>
      <c r="G70" s="4">
        <f t="shared" ref="G70:G105" ca="1" si="40">E70*_Tarif_Bezug/100</f>
        <v>0</v>
      </c>
      <c r="H70" s="4">
        <f t="shared" ref="H70:H105" si="41">IF(_EIV_t=B70,-_EIV_Max_Rechenwert,0)+IF(_EF_t=B70,-_EF_Max_Rechenwert,0)</f>
        <v>0</v>
      </c>
      <c r="I70" s="4">
        <f t="shared" ref="I70:I105" ca="1" si="42">-D70*_Tarif_Unterhalt_Rechenwert/100</f>
        <v>0</v>
      </c>
      <c r="J70" s="4">
        <f t="shared" ref="J70:J105" ca="1" si="43">IF(L69&lt;0,L69*_Kap_Verzinsung/100,0)</f>
        <v>0</v>
      </c>
      <c r="K70" s="4">
        <f t="shared" ref="K70:K101" ca="1" si="44">SUM(F70:J70)</f>
        <v>0</v>
      </c>
      <c r="L70" s="4">
        <f t="shared" ref="L70:L101" ca="1" si="45">L69+K70</f>
        <v>0</v>
      </c>
      <c r="M70" s="4">
        <f t="shared" ref="M70:M101" ca="1" si="46">IF(AND(L69&lt;0,L70&gt;=0),B70,0)</f>
        <v>0</v>
      </c>
      <c r="N70" s="4" t="str">
        <f t="shared" si="33"/>
        <v/>
      </c>
      <c r="O70" s="4" t="str">
        <f t="shared" si="34"/>
        <v/>
      </c>
    </row>
    <row r="71" spans="1:15">
      <c r="A71">
        <f t="shared" si="16"/>
        <v>66</v>
      </c>
      <c r="B71" t="str">
        <f t="shared" si="35"/>
        <v/>
      </c>
      <c r="C71" s="3">
        <f t="shared" si="36"/>
        <v>0</v>
      </c>
      <c r="D71" s="4">
        <f t="shared" ca="1" si="37"/>
        <v>0</v>
      </c>
      <c r="E71" s="4">
        <f t="shared" ca="1" si="38"/>
        <v>0</v>
      </c>
      <c r="F71" s="4">
        <f t="shared" ca="1" si="39"/>
        <v>0</v>
      </c>
      <c r="G71" s="4">
        <f t="shared" ca="1" si="40"/>
        <v>0</v>
      </c>
      <c r="H71" s="4">
        <f t="shared" si="41"/>
        <v>0</v>
      </c>
      <c r="I71" s="4">
        <f t="shared" ca="1" si="42"/>
        <v>0</v>
      </c>
      <c r="J71" s="4">
        <f t="shared" ca="1" si="43"/>
        <v>0</v>
      </c>
      <c r="K71" s="4">
        <f t="shared" ca="1" si="44"/>
        <v>0</v>
      </c>
      <c r="L71" s="4">
        <f t="shared" ca="1" si="45"/>
        <v>0</v>
      </c>
      <c r="M71" s="4">
        <f t="shared" ca="1" si="46"/>
        <v>0</v>
      </c>
      <c r="N71" s="4" t="str">
        <f t="shared" si="33"/>
        <v/>
      </c>
      <c r="O71" s="4" t="str">
        <f t="shared" si="34"/>
        <v/>
      </c>
    </row>
    <row r="72" spans="1:15">
      <c r="A72">
        <f t="shared" si="16"/>
        <v>67</v>
      </c>
      <c r="B72" t="str">
        <f t="shared" si="35"/>
        <v/>
      </c>
      <c r="C72" s="3">
        <f t="shared" si="36"/>
        <v>0</v>
      </c>
      <c r="D72" s="4">
        <f t="shared" ca="1" si="37"/>
        <v>0</v>
      </c>
      <c r="E72" s="4">
        <f t="shared" ca="1" si="38"/>
        <v>0</v>
      </c>
      <c r="F72" s="4">
        <f t="shared" ca="1" si="39"/>
        <v>0</v>
      </c>
      <c r="G72" s="4">
        <f t="shared" ca="1" si="40"/>
        <v>0</v>
      </c>
      <c r="H72" s="4">
        <f t="shared" si="41"/>
        <v>0</v>
      </c>
      <c r="I72" s="4">
        <f t="shared" ca="1" si="42"/>
        <v>0</v>
      </c>
      <c r="J72" s="4">
        <f t="shared" ca="1" si="43"/>
        <v>0</v>
      </c>
      <c r="K72" s="4">
        <f t="shared" ca="1" si="44"/>
        <v>0</v>
      </c>
      <c r="L72" s="4">
        <f t="shared" ca="1" si="45"/>
        <v>0</v>
      </c>
      <c r="M72" s="4">
        <f t="shared" ca="1" si="46"/>
        <v>0</v>
      </c>
      <c r="N72" s="4" t="str">
        <f t="shared" si="33"/>
        <v/>
      </c>
      <c r="O72" s="4" t="str">
        <f t="shared" si="34"/>
        <v/>
      </c>
    </row>
    <row r="73" spans="1:15">
      <c r="A73">
        <f t="shared" si="16"/>
        <v>68</v>
      </c>
      <c r="B73" t="str">
        <f t="shared" si="35"/>
        <v/>
      </c>
      <c r="C73" s="3">
        <f t="shared" si="36"/>
        <v>0</v>
      </c>
      <c r="D73" s="4">
        <f t="shared" ca="1" si="37"/>
        <v>0</v>
      </c>
      <c r="E73" s="4">
        <f t="shared" ca="1" si="38"/>
        <v>0</v>
      </c>
      <c r="F73" s="4">
        <f t="shared" ca="1" si="39"/>
        <v>0</v>
      </c>
      <c r="G73" s="4">
        <f t="shared" ca="1" si="40"/>
        <v>0</v>
      </c>
      <c r="H73" s="4">
        <f t="shared" si="41"/>
        <v>0</v>
      </c>
      <c r="I73" s="4">
        <f t="shared" ca="1" si="42"/>
        <v>0</v>
      </c>
      <c r="J73" s="4">
        <f t="shared" ca="1" si="43"/>
        <v>0</v>
      </c>
      <c r="K73" s="4">
        <f t="shared" ca="1" si="44"/>
        <v>0</v>
      </c>
      <c r="L73" s="4">
        <f t="shared" ca="1" si="45"/>
        <v>0</v>
      </c>
      <c r="M73" s="4">
        <f t="shared" ca="1" si="46"/>
        <v>0</v>
      </c>
      <c r="N73" s="4" t="str">
        <f t="shared" si="33"/>
        <v/>
      </c>
      <c r="O73" s="4" t="str">
        <f t="shared" si="34"/>
        <v/>
      </c>
    </row>
    <row r="74" spans="1:15">
      <c r="A74">
        <f t="shared" si="16"/>
        <v>69</v>
      </c>
      <c r="B74" t="str">
        <f t="shared" si="35"/>
        <v/>
      </c>
      <c r="C74" s="3">
        <f t="shared" si="36"/>
        <v>0</v>
      </c>
      <c r="D74" s="4">
        <f t="shared" ca="1" si="37"/>
        <v>0</v>
      </c>
      <c r="E74" s="4">
        <f t="shared" ca="1" si="38"/>
        <v>0</v>
      </c>
      <c r="F74" s="4">
        <f t="shared" ca="1" si="39"/>
        <v>0</v>
      </c>
      <c r="G74" s="4">
        <f t="shared" ca="1" si="40"/>
        <v>0</v>
      </c>
      <c r="H74" s="4">
        <f t="shared" si="41"/>
        <v>0</v>
      </c>
      <c r="I74" s="4">
        <f t="shared" ca="1" si="42"/>
        <v>0</v>
      </c>
      <c r="J74" s="4">
        <f t="shared" ca="1" si="43"/>
        <v>0</v>
      </c>
      <c r="K74" s="4">
        <f t="shared" ca="1" si="44"/>
        <v>0</v>
      </c>
      <c r="L74" s="4">
        <f t="shared" ca="1" si="45"/>
        <v>0</v>
      </c>
      <c r="M74" s="4">
        <f t="shared" ca="1" si="46"/>
        <v>0</v>
      </c>
      <c r="N74" s="4" t="str">
        <f t="shared" si="33"/>
        <v/>
      </c>
      <c r="O74" s="4" t="str">
        <f t="shared" si="34"/>
        <v/>
      </c>
    </row>
    <row r="75" spans="1:15">
      <c r="A75">
        <f t="shared" ref="A75:A105" si="47">A74+1</f>
        <v>70</v>
      </c>
      <c r="B75" t="str">
        <f t="shared" si="35"/>
        <v/>
      </c>
      <c r="C75" s="3">
        <f t="shared" si="36"/>
        <v>0</v>
      </c>
      <c r="D75" s="4">
        <f t="shared" ca="1" si="37"/>
        <v>0</v>
      </c>
      <c r="E75" s="4">
        <f t="shared" ca="1" si="38"/>
        <v>0</v>
      </c>
      <c r="F75" s="4">
        <f t="shared" ca="1" si="39"/>
        <v>0</v>
      </c>
      <c r="G75" s="4">
        <f t="shared" ca="1" si="40"/>
        <v>0</v>
      </c>
      <c r="H75" s="4">
        <f t="shared" si="41"/>
        <v>0</v>
      </c>
      <c r="I75" s="4">
        <f t="shared" ca="1" si="42"/>
        <v>0</v>
      </c>
      <c r="J75" s="4">
        <f t="shared" ca="1" si="43"/>
        <v>0</v>
      </c>
      <c r="K75" s="4">
        <f t="shared" ca="1" si="44"/>
        <v>0</v>
      </c>
      <c r="L75" s="4">
        <f t="shared" ca="1" si="45"/>
        <v>0</v>
      </c>
      <c r="M75" s="4">
        <f t="shared" ca="1" si="46"/>
        <v>0</v>
      </c>
      <c r="N75" s="4" t="str">
        <f t="shared" si="33"/>
        <v/>
      </c>
      <c r="O75" s="4" t="str">
        <f t="shared" si="34"/>
        <v/>
      </c>
    </row>
    <row r="76" spans="1:15">
      <c r="A76">
        <f t="shared" si="47"/>
        <v>71</v>
      </c>
      <c r="B76" t="str">
        <f t="shared" si="35"/>
        <v/>
      </c>
      <c r="C76" s="3">
        <f t="shared" si="36"/>
        <v>0</v>
      </c>
      <c r="D76" s="4">
        <f t="shared" ca="1" si="37"/>
        <v>0</v>
      </c>
      <c r="E76" s="4">
        <f t="shared" ca="1" si="38"/>
        <v>0</v>
      </c>
      <c r="F76" s="4">
        <f t="shared" ca="1" si="39"/>
        <v>0</v>
      </c>
      <c r="G76" s="4">
        <f t="shared" ca="1" si="40"/>
        <v>0</v>
      </c>
      <c r="H76" s="4">
        <f t="shared" si="41"/>
        <v>0</v>
      </c>
      <c r="I76" s="4">
        <f t="shared" ca="1" si="42"/>
        <v>0</v>
      </c>
      <c r="J76" s="4">
        <f t="shared" ca="1" si="43"/>
        <v>0</v>
      </c>
      <c r="K76" s="4">
        <f t="shared" ca="1" si="44"/>
        <v>0</v>
      </c>
      <c r="L76" s="4">
        <f t="shared" ca="1" si="45"/>
        <v>0</v>
      </c>
      <c r="M76" s="4">
        <f t="shared" ca="1" si="46"/>
        <v>0</v>
      </c>
      <c r="N76" s="4" t="str">
        <f t="shared" si="33"/>
        <v/>
      </c>
      <c r="O76" s="4" t="str">
        <f t="shared" si="34"/>
        <v/>
      </c>
    </row>
    <row r="77" spans="1:15">
      <c r="A77">
        <f t="shared" si="47"/>
        <v>72</v>
      </c>
      <c r="B77" t="str">
        <f t="shared" si="35"/>
        <v/>
      </c>
      <c r="C77" s="3">
        <f t="shared" si="36"/>
        <v>0</v>
      </c>
      <c r="D77" s="4">
        <f t="shared" ca="1" si="37"/>
        <v>0</v>
      </c>
      <c r="E77" s="4">
        <f t="shared" ca="1" si="38"/>
        <v>0</v>
      </c>
      <c r="F77" s="4">
        <f t="shared" ca="1" si="39"/>
        <v>0</v>
      </c>
      <c r="G77" s="4">
        <f t="shared" ca="1" si="40"/>
        <v>0</v>
      </c>
      <c r="H77" s="4">
        <f t="shared" si="41"/>
        <v>0</v>
      </c>
      <c r="I77" s="4">
        <f t="shared" ca="1" si="42"/>
        <v>0</v>
      </c>
      <c r="J77" s="4">
        <f t="shared" ca="1" si="43"/>
        <v>0</v>
      </c>
      <c r="K77" s="4">
        <f t="shared" ca="1" si="44"/>
        <v>0</v>
      </c>
      <c r="L77" s="4">
        <f t="shared" ca="1" si="45"/>
        <v>0</v>
      </c>
      <c r="M77" s="4">
        <f t="shared" ca="1" si="46"/>
        <v>0</v>
      </c>
      <c r="N77" s="4" t="str">
        <f t="shared" si="33"/>
        <v/>
      </c>
      <c r="O77" s="4" t="str">
        <f t="shared" si="34"/>
        <v/>
      </c>
    </row>
    <row r="78" spans="1:15">
      <c r="A78">
        <f t="shared" si="47"/>
        <v>73</v>
      </c>
      <c r="B78" t="str">
        <f t="shared" si="35"/>
        <v/>
      </c>
      <c r="C78" s="3">
        <f t="shared" si="36"/>
        <v>0</v>
      </c>
      <c r="D78" s="4">
        <f t="shared" ca="1" si="37"/>
        <v>0</v>
      </c>
      <c r="E78" s="4">
        <f t="shared" ca="1" si="38"/>
        <v>0</v>
      </c>
      <c r="F78" s="4">
        <f t="shared" ca="1" si="39"/>
        <v>0</v>
      </c>
      <c r="G78" s="4">
        <f t="shared" ca="1" si="40"/>
        <v>0</v>
      </c>
      <c r="H78" s="4">
        <f t="shared" si="41"/>
        <v>0</v>
      </c>
      <c r="I78" s="4">
        <f t="shared" ca="1" si="42"/>
        <v>0</v>
      </c>
      <c r="J78" s="4">
        <f t="shared" ca="1" si="43"/>
        <v>0</v>
      </c>
      <c r="K78" s="4">
        <f t="shared" ca="1" si="44"/>
        <v>0</v>
      </c>
      <c r="L78" s="4">
        <f t="shared" ca="1" si="45"/>
        <v>0</v>
      </c>
      <c r="M78" s="4">
        <f t="shared" ca="1" si="46"/>
        <v>0</v>
      </c>
      <c r="N78" s="4" t="str">
        <f t="shared" si="33"/>
        <v/>
      </c>
      <c r="O78" s="4" t="str">
        <f t="shared" si="34"/>
        <v/>
      </c>
    </row>
    <row r="79" spans="1:15">
      <c r="A79">
        <f t="shared" si="47"/>
        <v>74</v>
      </c>
      <c r="B79" t="str">
        <f t="shared" si="35"/>
        <v/>
      </c>
      <c r="C79" s="3">
        <f t="shared" si="36"/>
        <v>0</v>
      </c>
      <c r="D79" s="4">
        <f t="shared" ca="1" si="37"/>
        <v>0</v>
      </c>
      <c r="E79" s="4">
        <f t="shared" ca="1" si="38"/>
        <v>0</v>
      </c>
      <c r="F79" s="4">
        <f t="shared" ca="1" si="39"/>
        <v>0</v>
      </c>
      <c r="G79" s="4">
        <f t="shared" ca="1" si="40"/>
        <v>0</v>
      </c>
      <c r="H79" s="4">
        <f t="shared" si="41"/>
        <v>0</v>
      </c>
      <c r="I79" s="4">
        <f t="shared" ca="1" si="42"/>
        <v>0</v>
      </c>
      <c r="J79" s="4">
        <f t="shared" ca="1" si="43"/>
        <v>0</v>
      </c>
      <c r="K79" s="4">
        <f t="shared" ca="1" si="44"/>
        <v>0</v>
      </c>
      <c r="L79" s="4">
        <f t="shared" ca="1" si="45"/>
        <v>0</v>
      </c>
      <c r="M79" s="4">
        <f t="shared" ca="1" si="46"/>
        <v>0</v>
      </c>
      <c r="N79" s="4" t="str">
        <f t="shared" si="33"/>
        <v/>
      </c>
      <c r="O79" s="4" t="str">
        <f t="shared" si="34"/>
        <v/>
      </c>
    </row>
    <row r="80" spans="1:15">
      <c r="A80">
        <f t="shared" si="47"/>
        <v>75</v>
      </c>
      <c r="B80" t="str">
        <f t="shared" si="35"/>
        <v/>
      </c>
      <c r="C80" s="3">
        <f t="shared" si="36"/>
        <v>0</v>
      </c>
      <c r="D80" s="4">
        <f t="shared" ca="1" si="37"/>
        <v>0</v>
      </c>
      <c r="E80" s="4">
        <f t="shared" ca="1" si="38"/>
        <v>0</v>
      </c>
      <c r="F80" s="4">
        <f t="shared" ca="1" si="39"/>
        <v>0</v>
      </c>
      <c r="G80" s="4">
        <f t="shared" ca="1" si="40"/>
        <v>0</v>
      </c>
      <c r="H80" s="4">
        <f t="shared" si="41"/>
        <v>0</v>
      </c>
      <c r="I80" s="4">
        <f t="shared" ca="1" si="42"/>
        <v>0</v>
      </c>
      <c r="J80" s="4">
        <f t="shared" ca="1" si="43"/>
        <v>0</v>
      </c>
      <c r="K80" s="4">
        <f t="shared" ca="1" si="44"/>
        <v>0</v>
      </c>
      <c r="L80" s="4">
        <f t="shared" ca="1" si="45"/>
        <v>0</v>
      </c>
      <c r="M80" s="4">
        <f t="shared" ca="1" si="46"/>
        <v>0</v>
      </c>
      <c r="N80" s="4" t="str">
        <f t="shared" si="33"/>
        <v/>
      </c>
      <c r="O80" s="4" t="str">
        <f t="shared" si="34"/>
        <v/>
      </c>
    </row>
    <row r="81" spans="1:15">
      <c r="A81">
        <f t="shared" si="47"/>
        <v>76</v>
      </c>
      <c r="B81" t="str">
        <f t="shared" si="35"/>
        <v/>
      </c>
      <c r="C81" s="3">
        <f t="shared" si="36"/>
        <v>0</v>
      </c>
      <c r="D81" s="4">
        <f t="shared" ca="1" si="37"/>
        <v>0</v>
      </c>
      <c r="E81" s="4">
        <f t="shared" ca="1" si="38"/>
        <v>0</v>
      </c>
      <c r="F81" s="4">
        <f t="shared" ca="1" si="39"/>
        <v>0</v>
      </c>
      <c r="G81" s="4">
        <f t="shared" ca="1" si="40"/>
        <v>0</v>
      </c>
      <c r="H81" s="4">
        <f t="shared" si="41"/>
        <v>0</v>
      </c>
      <c r="I81" s="4">
        <f t="shared" ca="1" si="42"/>
        <v>0</v>
      </c>
      <c r="J81" s="4">
        <f t="shared" ca="1" si="43"/>
        <v>0</v>
      </c>
      <c r="K81" s="4">
        <f t="shared" ca="1" si="44"/>
        <v>0</v>
      </c>
      <c r="L81" s="4">
        <f t="shared" ca="1" si="45"/>
        <v>0</v>
      </c>
      <c r="M81" s="4">
        <f t="shared" ca="1" si="46"/>
        <v>0</v>
      </c>
      <c r="N81" s="4" t="str">
        <f t="shared" si="33"/>
        <v/>
      </c>
      <c r="O81" s="4" t="str">
        <f t="shared" si="34"/>
        <v/>
      </c>
    </row>
    <row r="82" spans="1:15">
      <c r="A82">
        <f t="shared" si="47"/>
        <v>77</v>
      </c>
      <c r="B82" t="str">
        <f t="shared" si="35"/>
        <v/>
      </c>
      <c r="C82" s="3">
        <f t="shared" si="36"/>
        <v>0</v>
      </c>
      <c r="D82" s="4">
        <f t="shared" ca="1" si="37"/>
        <v>0</v>
      </c>
      <c r="E82" s="4">
        <f t="shared" ca="1" si="38"/>
        <v>0</v>
      </c>
      <c r="F82" s="4">
        <f t="shared" ca="1" si="39"/>
        <v>0</v>
      </c>
      <c r="G82" s="4">
        <f t="shared" ca="1" si="40"/>
        <v>0</v>
      </c>
      <c r="H82" s="4">
        <f t="shared" si="41"/>
        <v>0</v>
      </c>
      <c r="I82" s="4">
        <f t="shared" ca="1" si="42"/>
        <v>0</v>
      </c>
      <c r="J82" s="4">
        <f t="shared" ca="1" si="43"/>
        <v>0</v>
      </c>
      <c r="K82" s="4">
        <f t="shared" ca="1" si="44"/>
        <v>0</v>
      </c>
      <c r="L82" s="4">
        <f t="shared" ca="1" si="45"/>
        <v>0</v>
      </c>
      <c r="M82" s="4">
        <f t="shared" ca="1" si="46"/>
        <v>0</v>
      </c>
      <c r="N82" s="4" t="str">
        <f t="shared" si="33"/>
        <v/>
      </c>
      <c r="O82" s="4" t="str">
        <f t="shared" si="34"/>
        <v/>
      </c>
    </row>
    <row r="83" spans="1:15">
      <c r="A83">
        <f t="shared" si="47"/>
        <v>78</v>
      </c>
      <c r="B83" t="str">
        <f t="shared" si="35"/>
        <v/>
      </c>
      <c r="C83" s="3">
        <f t="shared" si="36"/>
        <v>0</v>
      </c>
      <c r="D83" s="4">
        <f t="shared" ca="1" si="37"/>
        <v>0</v>
      </c>
      <c r="E83" s="4">
        <f t="shared" ca="1" si="38"/>
        <v>0</v>
      </c>
      <c r="F83" s="4">
        <f t="shared" ca="1" si="39"/>
        <v>0</v>
      </c>
      <c r="G83" s="4">
        <f t="shared" ca="1" si="40"/>
        <v>0</v>
      </c>
      <c r="H83" s="4">
        <f t="shared" si="41"/>
        <v>0</v>
      </c>
      <c r="I83" s="4">
        <f t="shared" ca="1" si="42"/>
        <v>0</v>
      </c>
      <c r="J83" s="4">
        <f t="shared" ca="1" si="43"/>
        <v>0</v>
      </c>
      <c r="K83" s="4">
        <f t="shared" ca="1" si="44"/>
        <v>0</v>
      </c>
      <c r="L83" s="4">
        <f t="shared" ca="1" si="45"/>
        <v>0</v>
      </c>
      <c r="M83" s="4">
        <f t="shared" ca="1" si="46"/>
        <v>0</v>
      </c>
      <c r="N83" s="4" t="str">
        <f t="shared" si="33"/>
        <v/>
      </c>
      <c r="O83" s="4" t="str">
        <f t="shared" si="34"/>
        <v/>
      </c>
    </row>
    <row r="84" spans="1:15">
      <c r="A84">
        <f t="shared" si="47"/>
        <v>79</v>
      </c>
      <c r="B84" t="str">
        <f t="shared" si="35"/>
        <v/>
      </c>
      <c r="C84" s="3">
        <f t="shared" si="36"/>
        <v>0</v>
      </c>
      <c r="D84" s="4">
        <f t="shared" ca="1" si="37"/>
        <v>0</v>
      </c>
      <c r="E84" s="4">
        <f t="shared" ca="1" si="38"/>
        <v>0</v>
      </c>
      <c r="F84" s="4">
        <f t="shared" ca="1" si="39"/>
        <v>0</v>
      </c>
      <c r="G84" s="4">
        <f t="shared" ca="1" si="40"/>
        <v>0</v>
      </c>
      <c r="H84" s="4">
        <f t="shared" si="41"/>
        <v>0</v>
      </c>
      <c r="I84" s="4">
        <f t="shared" ca="1" si="42"/>
        <v>0</v>
      </c>
      <c r="J84" s="4">
        <f t="shared" ca="1" si="43"/>
        <v>0</v>
      </c>
      <c r="K84" s="4">
        <f t="shared" ca="1" si="44"/>
        <v>0</v>
      </c>
      <c r="L84" s="4">
        <f t="shared" ca="1" si="45"/>
        <v>0</v>
      </c>
      <c r="M84" s="4">
        <f t="shared" ca="1" si="46"/>
        <v>0</v>
      </c>
      <c r="N84" s="4" t="str">
        <f t="shared" si="33"/>
        <v/>
      </c>
      <c r="O84" s="4" t="str">
        <f t="shared" si="34"/>
        <v/>
      </c>
    </row>
    <row r="85" spans="1:15">
      <c r="A85">
        <f t="shared" si="47"/>
        <v>80</v>
      </c>
      <c r="B85" t="str">
        <f t="shared" si="35"/>
        <v/>
      </c>
      <c r="C85" s="3">
        <f t="shared" si="36"/>
        <v>0</v>
      </c>
      <c r="D85" s="4">
        <f t="shared" ca="1" si="37"/>
        <v>0</v>
      </c>
      <c r="E85" s="4">
        <f t="shared" ca="1" si="38"/>
        <v>0</v>
      </c>
      <c r="F85" s="4">
        <f t="shared" ca="1" si="39"/>
        <v>0</v>
      </c>
      <c r="G85" s="4">
        <f t="shared" ca="1" si="40"/>
        <v>0</v>
      </c>
      <c r="H85" s="4">
        <f t="shared" si="41"/>
        <v>0</v>
      </c>
      <c r="I85" s="4">
        <f t="shared" ca="1" si="42"/>
        <v>0</v>
      </c>
      <c r="J85" s="4">
        <f t="shared" ca="1" si="43"/>
        <v>0</v>
      </c>
      <c r="K85" s="4">
        <f t="shared" ca="1" si="44"/>
        <v>0</v>
      </c>
      <c r="L85" s="4">
        <f t="shared" ca="1" si="45"/>
        <v>0</v>
      </c>
      <c r="M85" s="4">
        <f t="shared" ca="1" si="46"/>
        <v>0</v>
      </c>
      <c r="N85" s="4" t="str">
        <f t="shared" si="33"/>
        <v/>
      </c>
      <c r="O85" s="4" t="str">
        <f t="shared" si="34"/>
        <v/>
      </c>
    </row>
    <row r="86" spans="1:15">
      <c r="A86">
        <f t="shared" si="47"/>
        <v>81</v>
      </c>
      <c r="B86" t="str">
        <f t="shared" si="35"/>
        <v/>
      </c>
      <c r="C86" s="3">
        <f t="shared" si="36"/>
        <v>0</v>
      </c>
      <c r="D86" s="4">
        <f t="shared" ca="1" si="37"/>
        <v>0</v>
      </c>
      <c r="E86" s="4">
        <f t="shared" ca="1" si="38"/>
        <v>0</v>
      </c>
      <c r="F86" s="4">
        <f t="shared" ca="1" si="39"/>
        <v>0</v>
      </c>
      <c r="G86" s="4">
        <f t="shared" ca="1" si="40"/>
        <v>0</v>
      </c>
      <c r="H86" s="4">
        <f t="shared" si="41"/>
        <v>0</v>
      </c>
      <c r="I86" s="4">
        <f t="shared" ca="1" si="42"/>
        <v>0</v>
      </c>
      <c r="J86" s="4">
        <f t="shared" ca="1" si="43"/>
        <v>0</v>
      </c>
      <c r="K86" s="4">
        <f t="shared" ca="1" si="44"/>
        <v>0</v>
      </c>
      <c r="L86" s="4">
        <f t="shared" ca="1" si="45"/>
        <v>0</v>
      </c>
      <c r="M86" s="4">
        <f t="shared" ca="1" si="46"/>
        <v>0</v>
      </c>
      <c r="N86" s="4" t="str">
        <f t="shared" si="33"/>
        <v/>
      </c>
      <c r="O86" s="4" t="str">
        <f t="shared" si="34"/>
        <v/>
      </c>
    </row>
    <row r="87" spans="1:15">
      <c r="A87">
        <f t="shared" si="47"/>
        <v>82</v>
      </c>
      <c r="B87" t="str">
        <f t="shared" si="35"/>
        <v/>
      </c>
      <c r="C87" s="3">
        <f t="shared" si="36"/>
        <v>0</v>
      </c>
      <c r="D87" s="4">
        <f t="shared" ca="1" si="37"/>
        <v>0</v>
      </c>
      <c r="E87" s="4">
        <f t="shared" ca="1" si="38"/>
        <v>0</v>
      </c>
      <c r="F87" s="4">
        <f t="shared" ca="1" si="39"/>
        <v>0</v>
      </c>
      <c r="G87" s="4">
        <f t="shared" ca="1" si="40"/>
        <v>0</v>
      </c>
      <c r="H87" s="4">
        <f t="shared" si="41"/>
        <v>0</v>
      </c>
      <c r="I87" s="4">
        <f t="shared" ca="1" si="42"/>
        <v>0</v>
      </c>
      <c r="J87" s="4">
        <f t="shared" ca="1" si="43"/>
        <v>0</v>
      </c>
      <c r="K87" s="4">
        <f t="shared" ca="1" si="44"/>
        <v>0</v>
      </c>
      <c r="L87" s="4">
        <f t="shared" ca="1" si="45"/>
        <v>0</v>
      </c>
      <c r="M87" s="4">
        <f t="shared" ca="1" si="46"/>
        <v>0</v>
      </c>
      <c r="N87" s="4" t="str">
        <f t="shared" si="33"/>
        <v/>
      </c>
      <c r="O87" s="4" t="str">
        <f t="shared" si="34"/>
        <v/>
      </c>
    </row>
    <row r="88" spans="1:15">
      <c r="A88">
        <f t="shared" si="47"/>
        <v>83</v>
      </c>
      <c r="B88" t="str">
        <f t="shared" si="35"/>
        <v/>
      </c>
      <c r="C88" s="3">
        <f t="shared" si="36"/>
        <v>0</v>
      </c>
      <c r="D88" s="4">
        <f t="shared" ca="1" si="37"/>
        <v>0</v>
      </c>
      <c r="E88" s="4">
        <f t="shared" ca="1" si="38"/>
        <v>0</v>
      </c>
      <c r="F88" s="4">
        <f t="shared" ca="1" si="39"/>
        <v>0</v>
      </c>
      <c r="G88" s="4">
        <f t="shared" ca="1" si="40"/>
        <v>0</v>
      </c>
      <c r="H88" s="4">
        <f t="shared" si="41"/>
        <v>0</v>
      </c>
      <c r="I88" s="4">
        <f t="shared" ca="1" si="42"/>
        <v>0</v>
      </c>
      <c r="J88" s="4">
        <f t="shared" ca="1" si="43"/>
        <v>0</v>
      </c>
      <c r="K88" s="4">
        <f t="shared" ca="1" si="44"/>
        <v>0</v>
      </c>
      <c r="L88" s="4">
        <f t="shared" ca="1" si="45"/>
        <v>0</v>
      </c>
      <c r="M88" s="4">
        <f t="shared" ca="1" si="46"/>
        <v>0</v>
      </c>
      <c r="N88" s="4" t="str">
        <f t="shared" si="33"/>
        <v/>
      </c>
      <c r="O88" s="4" t="str">
        <f t="shared" si="34"/>
        <v/>
      </c>
    </row>
    <row r="89" spans="1:15">
      <c r="A89">
        <f t="shared" si="47"/>
        <v>84</v>
      </c>
      <c r="B89" t="str">
        <f t="shared" si="35"/>
        <v/>
      </c>
      <c r="C89" s="3">
        <f t="shared" si="36"/>
        <v>0</v>
      </c>
      <c r="D89" s="4">
        <f t="shared" ca="1" si="37"/>
        <v>0</v>
      </c>
      <c r="E89" s="4">
        <f t="shared" ca="1" si="38"/>
        <v>0</v>
      </c>
      <c r="F89" s="4">
        <f t="shared" ca="1" si="39"/>
        <v>0</v>
      </c>
      <c r="G89" s="4">
        <f t="shared" ca="1" si="40"/>
        <v>0</v>
      </c>
      <c r="H89" s="4">
        <f t="shared" si="41"/>
        <v>0</v>
      </c>
      <c r="I89" s="4">
        <f t="shared" ca="1" si="42"/>
        <v>0</v>
      </c>
      <c r="J89" s="4">
        <f t="shared" ca="1" si="43"/>
        <v>0</v>
      </c>
      <c r="K89" s="4">
        <f t="shared" ca="1" si="44"/>
        <v>0</v>
      </c>
      <c r="L89" s="4">
        <f t="shared" ca="1" si="45"/>
        <v>0</v>
      </c>
      <c r="M89" s="4">
        <f t="shared" ca="1" si="46"/>
        <v>0</v>
      </c>
      <c r="N89" s="4" t="str">
        <f t="shared" si="33"/>
        <v/>
      </c>
      <c r="O89" s="4" t="str">
        <f t="shared" si="34"/>
        <v/>
      </c>
    </row>
    <row r="90" spans="1:15">
      <c r="A90">
        <f t="shared" si="47"/>
        <v>85</v>
      </c>
      <c r="B90" t="str">
        <f t="shared" si="35"/>
        <v/>
      </c>
      <c r="C90" s="3">
        <f t="shared" si="36"/>
        <v>0</v>
      </c>
      <c r="D90" s="4">
        <f t="shared" ca="1" si="37"/>
        <v>0</v>
      </c>
      <c r="E90" s="4">
        <f t="shared" ca="1" si="38"/>
        <v>0</v>
      </c>
      <c r="F90" s="4">
        <f t="shared" ca="1" si="39"/>
        <v>0</v>
      </c>
      <c r="G90" s="4">
        <f t="shared" ca="1" si="40"/>
        <v>0</v>
      </c>
      <c r="H90" s="4">
        <f t="shared" si="41"/>
        <v>0</v>
      </c>
      <c r="I90" s="4">
        <f t="shared" ca="1" si="42"/>
        <v>0</v>
      </c>
      <c r="J90" s="4">
        <f t="shared" ca="1" si="43"/>
        <v>0</v>
      </c>
      <c r="K90" s="4">
        <f t="shared" ca="1" si="44"/>
        <v>0</v>
      </c>
      <c r="L90" s="4">
        <f t="shared" ca="1" si="45"/>
        <v>0</v>
      </c>
      <c r="M90" s="4">
        <f t="shared" ca="1" si="46"/>
        <v>0</v>
      </c>
      <c r="N90" s="4" t="str">
        <f t="shared" si="33"/>
        <v/>
      </c>
      <c r="O90" s="4" t="str">
        <f t="shared" si="34"/>
        <v/>
      </c>
    </row>
    <row r="91" spans="1:15">
      <c r="A91">
        <f t="shared" si="47"/>
        <v>86</v>
      </c>
      <c r="B91" t="str">
        <f t="shared" si="35"/>
        <v/>
      </c>
      <c r="C91" s="3">
        <f t="shared" si="36"/>
        <v>0</v>
      </c>
      <c r="D91" s="4">
        <f t="shared" ca="1" si="37"/>
        <v>0</v>
      </c>
      <c r="E91" s="4">
        <f t="shared" ca="1" si="38"/>
        <v>0</v>
      </c>
      <c r="F91" s="4">
        <f t="shared" ca="1" si="39"/>
        <v>0</v>
      </c>
      <c r="G91" s="4">
        <f t="shared" ca="1" si="40"/>
        <v>0</v>
      </c>
      <c r="H91" s="4">
        <f t="shared" si="41"/>
        <v>0</v>
      </c>
      <c r="I91" s="4">
        <f t="shared" ca="1" si="42"/>
        <v>0</v>
      </c>
      <c r="J91" s="4">
        <f t="shared" ca="1" si="43"/>
        <v>0</v>
      </c>
      <c r="K91" s="4">
        <f t="shared" ca="1" si="44"/>
        <v>0</v>
      </c>
      <c r="L91" s="4">
        <f t="shared" ca="1" si="45"/>
        <v>0</v>
      </c>
      <c r="M91" s="4">
        <f t="shared" ca="1" si="46"/>
        <v>0</v>
      </c>
      <c r="N91" s="4" t="str">
        <f t="shared" si="33"/>
        <v/>
      </c>
      <c r="O91" s="4" t="str">
        <f t="shared" si="34"/>
        <v/>
      </c>
    </row>
    <row r="92" spans="1:15">
      <c r="A92">
        <f t="shared" si="47"/>
        <v>87</v>
      </c>
      <c r="B92" t="str">
        <f t="shared" si="35"/>
        <v/>
      </c>
      <c r="C92" s="3">
        <f t="shared" si="36"/>
        <v>0</v>
      </c>
      <c r="D92" s="4">
        <f t="shared" ca="1" si="37"/>
        <v>0</v>
      </c>
      <c r="E92" s="4">
        <f t="shared" ca="1" si="38"/>
        <v>0</v>
      </c>
      <c r="F92" s="4">
        <f t="shared" ca="1" si="39"/>
        <v>0</v>
      </c>
      <c r="G92" s="4">
        <f t="shared" ca="1" si="40"/>
        <v>0</v>
      </c>
      <c r="H92" s="4">
        <f t="shared" si="41"/>
        <v>0</v>
      </c>
      <c r="I92" s="4">
        <f t="shared" ca="1" si="42"/>
        <v>0</v>
      </c>
      <c r="J92" s="4">
        <f t="shared" ca="1" si="43"/>
        <v>0</v>
      </c>
      <c r="K92" s="4">
        <f t="shared" ca="1" si="44"/>
        <v>0</v>
      </c>
      <c r="L92" s="4">
        <f t="shared" ca="1" si="45"/>
        <v>0</v>
      </c>
      <c r="M92" s="4">
        <f t="shared" ca="1" si="46"/>
        <v>0</v>
      </c>
      <c r="N92" s="4" t="str">
        <f t="shared" si="33"/>
        <v/>
      </c>
      <c r="O92" s="4" t="str">
        <f t="shared" si="34"/>
        <v/>
      </c>
    </row>
    <row r="93" spans="1:15">
      <c r="A93">
        <f t="shared" si="47"/>
        <v>88</v>
      </c>
      <c r="B93" t="str">
        <f t="shared" si="35"/>
        <v/>
      </c>
      <c r="C93" s="3">
        <f t="shared" si="36"/>
        <v>0</v>
      </c>
      <c r="D93" s="4">
        <f t="shared" ca="1" si="37"/>
        <v>0</v>
      </c>
      <c r="E93" s="4">
        <f t="shared" ca="1" si="38"/>
        <v>0</v>
      </c>
      <c r="F93" s="4">
        <f t="shared" ca="1" si="39"/>
        <v>0</v>
      </c>
      <c r="G93" s="4">
        <f t="shared" ca="1" si="40"/>
        <v>0</v>
      </c>
      <c r="H93" s="4">
        <f t="shared" si="41"/>
        <v>0</v>
      </c>
      <c r="I93" s="4">
        <f t="shared" ca="1" si="42"/>
        <v>0</v>
      </c>
      <c r="J93" s="4">
        <f t="shared" ca="1" si="43"/>
        <v>0</v>
      </c>
      <c r="K93" s="4">
        <f t="shared" ca="1" si="44"/>
        <v>0</v>
      </c>
      <c r="L93" s="4">
        <f t="shared" ca="1" si="45"/>
        <v>0</v>
      </c>
      <c r="M93" s="4">
        <f t="shared" ca="1" si="46"/>
        <v>0</v>
      </c>
      <c r="N93" s="4" t="str">
        <f t="shared" si="33"/>
        <v/>
      </c>
      <c r="O93" s="4" t="str">
        <f t="shared" si="34"/>
        <v/>
      </c>
    </row>
    <row r="94" spans="1:15">
      <c r="A94">
        <f t="shared" si="47"/>
        <v>89</v>
      </c>
      <c r="B94" t="str">
        <f t="shared" si="35"/>
        <v/>
      </c>
      <c r="C94" s="3">
        <f t="shared" si="36"/>
        <v>0</v>
      </c>
      <c r="D94" s="4">
        <f t="shared" ca="1" si="37"/>
        <v>0</v>
      </c>
      <c r="E94" s="4">
        <f t="shared" ca="1" si="38"/>
        <v>0</v>
      </c>
      <c r="F94" s="4">
        <f t="shared" ca="1" si="39"/>
        <v>0</v>
      </c>
      <c r="G94" s="4">
        <f t="shared" ca="1" si="40"/>
        <v>0</v>
      </c>
      <c r="H94" s="4">
        <f t="shared" si="41"/>
        <v>0</v>
      </c>
      <c r="I94" s="4">
        <f t="shared" ca="1" si="42"/>
        <v>0</v>
      </c>
      <c r="J94" s="4">
        <f t="shared" ca="1" si="43"/>
        <v>0</v>
      </c>
      <c r="K94" s="4">
        <f t="shared" ca="1" si="44"/>
        <v>0</v>
      </c>
      <c r="L94" s="4">
        <f t="shared" ca="1" si="45"/>
        <v>0</v>
      </c>
      <c r="M94" s="4">
        <f t="shared" ca="1" si="46"/>
        <v>0</v>
      </c>
      <c r="N94" s="4" t="str">
        <f t="shared" si="33"/>
        <v/>
      </c>
      <c r="O94" s="4" t="str">
        <f t="shared" si="34"/>
        <v/>
      </c>
    </row>
    <row r="95" spans="1:15">
      <c r="A95">
        <f t="shared" si="47"/>
        <v>90</v>
      </c>
      <c r="B95" t="str">
        <f t="shared" si="35"/>
        <v/>
      </c>
      <c r="C95" s="3">
        <f t="shared" si="36"/>
        <v>0</v>
      </c>
      <c r="D95" s="4">
        <f t="shared" ca="1" si="37"/>
        <v>0</v>
      </c>
      <c r="E95" s="4">
        <f t="shared" ca="1" si="38"/>
        <v>0</v>
      </c>
      <c r="F95" s="4">
        <f t="shared" ca="1" si="39"/>
        <v>0</v>
      </c>
      <c r="G95" s="4">
        <f t="shared" ca="1" si="40"/>
        <v>0</v>
      </c>
      <c r="H95" s="4">
        <f t="shared" si="41"/>
        <v>0</v>
      </c>
      <c r="I95" s="4">
        <f t="shared" ca="1" si="42"/>
        <v>0</v>
      </c>
      <c r="J95" s="4">
        <f t="shared" ca="1" si="43"/>
        <v>0</v>
      </c>
      <c r="K95" s="4">
        <f t="shared" ca="1" si="44"/>
        <v>0</v>
      </c>
      <c r="L95" s="4">
        <f t="shared" ca="1" si="45"/>
        <v>0</v>
      </c>
      <c r="M95" s="4">
        <f t="shared" ca="1" si="46"/>
        <v>0</v>
      </c>
      <c r="N95" s="4" t="str">
        <f t="shared" si="33"/>
        <v/>
      </c>
      <c r="O95" s="4" t="str">
        <f t="shared" si="34"/>
        <v/>
      </c>
    </row>
    <row r="96" spans="1:15">
      <c r="A96">
        <f t="shared" si="47"/>
        <v>91</v>
      </c>
      <c r="B96" t="str">
        <f t="shared" si="35"/>
        <v/>
      </c>
      <c r="C96" s="3">
        <f t="shared" si="36"/>
        <v>0</v>
      </c>
      <c r="D96" s="4">
        <f t="shared" ca="1" si="37"/>
        <v>0</v>
      </c>
      <c r="E96" s="4">
        <f t="shared" ca="1" si="38"/>
        <v>0</v>
      </c>
      <c r="F96" s="4">
        <f t="shared" ca="1" si="39"/>
        <v>0</v>
      </c>
      <c r="G96" s="4">
        <f t="shared" ca="1" si="40"/>
        <v>0</v>
      </c>
      <c r="H96" s="4">
        <f t="shared" si="41"/>
        <v>0</v>
      </c>
      <c r="I96" s="4">
        <f t="shared" ca="1" si="42"/>
        <v>0</v>
      </c>
      <c r="J96" s="4">
        <f t="shared" ca="1" si="43"/>
        <v>0</v>
      </c>
      <c r="K96" s="4">
        <f t="shared" ca="1" si="44"/>
        <v>0</v>
      </c>
      <c r="L96" s="4">
        <f t="shared" ca="1" si="45"/>
        <v>0</v>
      </c>
      <c r="M96" s="4">
        <f t="shared" ca="1" si="46"/>
        <v>0</v>
      </c>
      <c r="N96" s="4" t="str">
        <f t="shared" si="33"/>
        <v/>
      </c>
      <c r="O96" s="4" t="str">
        <f t="shared" si="34"/>
        <v/>
      </c>
    </row>
    <row r="97" spans="1:15">
      <c r="A97">
        <f t="shared" si="47"/>
        <v>92</v>
      </c>
      <c r="B97" t="str">
        <f t="shared" si="35"/>
        <v/>
      </c>
      <c r="C97" s="3">
        <f t="shared" si="36"/>
        <v>0</v>
      </c>
      <c r="D97" s="4">
        <f t="shared" ca="1" si="37"/>
        <v>0</v>
      </c>
      <c r="E97" s="4">
        <f t="shared" ca="1" si="38"/>
        <v>0</v>
      </c>
      <c r="F97" s="4">
        <f t="shared" ca="1" si="39"/>
        <v>0</v>
      </c>
      <c r="G97" s="4">
        <f t="shared" ca="1" si="40"/>
        <v>0</v>
      </c>
      <c r="H97" s="4">
        <f t="shared" si="41"/>
        <v>0</v>
      </c>
      <c r="I97" s="4">
        <f t="shared" ca="1" si="42"/>
        <v>0</v>
      </c>
      <c r="J97" s="4">
        <f t="shared" ca="1" si="43"/>
        <v>0</v>
      </c>
      <c r="K97" s="4">
        <f t="shared" ca="1" si="44"/>
        <v>0</v>
      </c>
      <c r="L97" s="4">
        <f t="shared" ca="1" si="45"/>
        <v>0</v>
      </c>
      <c r="M97" s="4">
        <f t="shared" ca="1" si="46"/>
        <v>0</v>
      </c>
      <c r="N97" s="4" t="str">
        <f t="shared" si="33"/>
        <v/>
      </c>
      <c r="O97" s="4" t="str">
        <f t="shared" si="34"/>
        <v/>
      </c>
    </row>
    <row r="98" spans="1:15">
      <c r="A98">
        <f t="shared" si="47"/>
        <v>93</v>
      </c>
      <c r="B98" t="str">
        <f t="shared" si="35"/>
        <v/>
      </c>
      <c r="C98" s="3">
        <f t="shared" si="36"/>
        <v>0</v>
      </c>
      <c r="D98" s="4">
        <f t="shared" ca="1" si="37"/>
        <v>0</v>
      </c>
      <c r="E98" s="4">
        <f t="shared" ca="1" si="38"/>
        <v>0</v>
      </c>
      <c r="F98" s="4">
        <f t="shared" ca="1" si="39"/>
        <v>0</v>
      </c>
      <c r="G98" s="4">
        <f t="shared" ca="1" si="40"/>
        <v>0</v>
      </c>
      <c r="H98" s="4">
        <f t="shared" si="41"/>
        <v>0</v>
      </c>
      <c r="I98" s="4">
        <f t="shared" ca="1" si="42"/>
        <v>0</v>
      </c>
      <c r="J98" s="4">
        <f t="shared" ca="1" si="43"/>
        <v>0</v>
      </c>
      <c r="K98" s="4">
        <f t="shared" ca="1" si="44"/>
        <v>0</v>
      </c>
      <c r="L98" s="4">
        <f t="shared" ca="1" si="45"/>
        <v>0</v>
      </c>
      <c r="M98" s="4">
        <f t="shared" ca="1" si="46"/>
        <v>0</v>
      </c>
      <c r="N98" s="4" t="str">
        <f t="shared" si="33"/>
        <v/>
      </c>
      <c r="O98" s="4" t="str">
        <f t="shared" si="34"/>
        <v/>
      </c>
    </row>
    <row r="99" spans="1:15">
      <c r="A99">
        <f t="shared" si="47"/>
        <v>94</v>
      </c>
      <c r="B99" t="str">
        <f t="shared" si="35"/>
        <v/>
      </c>
      <c r="C99" s="3">
        <f t="shared" si="36"/>
        <v>0</v>
      </c>
      <c r="D99" s="4">
        <f t="shared" ca="1" si="37"/>
        <v>0</v>
      </c>
      <c r="E99" s="4">
        <f t="shared" ca="1" si="38"/>
        <v>0</v>
      </c>
      <c r="F99" s="4">
        <f t="shared" ca="1" si="39"/>
        <v>0</v>
      </c>
      <c r="G99" s="4">
        <f t="shared" ca="1" si="40"/>
        <v>0</v>
      </c>
      <c r="H99" s="4">
        <f t="shared" si="41"/>
        <v>0</v>
      </c>
      <c r="I99" s="4">
        <f t="shared" ca="1" si="42"/>
        <v>0</v>
      </c>
      <c r="J99" s="4">
        <f t="shared" ca="1" si="43"/>
        <v>0</v>
      </c>
      <c r="K99" s="4">
        <f t="shared" ca="1" si="44"/>
        <v>0</v>
      </c>
      <c r="L99" s="4">
        <f t="shared" ca="1" si="45"/>
        <v>0</v>
      </c>
      <c r="M99" s="4">
        <f t="shared" ca="1" si="46"/>
        <v>0</v>
      </c>
      <c r="N99" s="4" t="str">
        <f t="shared" si="33"/>
        <v/>
      </c>
      <c r="O99" s="4" t="str">
        <f t="shared" si="34"/>
        <v/>
      </c>
    </row>
    <row r="100" spans="1:15">
      <c r="A100">
        <f t="shared" si="47"/>
        <v>95</v>
      </c>
      <c r="B100" t="str">
        <f t="shared" si="35"/>
        <v/>
      </c>
      <c r="C100" s="3">
        <f t="shared" si="36"/>
        <v>0</v>
      </c>
      <c r="D100" s="4">
        <f t="shared" ca="1" si="37"/>
        <v>0</v>
      </c>
      <c r="E100" s="4">
        <f t="shared" ca="1" si="38"/>
        <v>0</v>
      </c>
      <c r="F100" s="4">
        <f t="shared" ca="1" si="39"/>
        <v>0</v>
      </c>
      <c r="G100" s="4">
        <f t="shared" ca="1" si="40"/>
        <v>0</v>
      </c>
      <c r="H100" s="4">
        <f t="shared" si="41"/>
        <v>0</v>
      </c>
      <c r="I100" s="4">
        <f t="shared" ca="1" si="42"/>
        <v>0</v>
      </c>
      <c r="J100" s="4">
        <f t="shared" ca="1" si="43"/>
        <v>0</v>
      </c>
      <c r="K100" s="4">
        <f t="shared" ca="1" si="44"/>
        <v>0</v>
      </c>
      <c r="L100" s="4">
        <f t="shared" ca="1" si="45"/>
        <v>0</v>
      </c>
      <c r="M100" s="4">
        <f t="shared" ca="1" si="46"/>
        <v>0</v>
      </c>
      <c r="N100" s="4" t="str">
        <f t="shared" si="33"/>
        <v/>
      </c>
      <c r="O100" s="4" t="str">
        <f t="shared" si="34"/>
        <v/>
      </c>
    </row>
    <row r="101" spans="1:15">
      <c r="A101">
        <f t="shared" si="47"/>
        <v>96</v>
      </c>
      <c r="B101" t="str">
        <f t="shared" si="35"/>
        <v/>
      </c>
      <c r="C101" s="3">
        <f t="shared" si="36"/>
        <v>0</v>
      </c>
      <c r="D101" s="4">
        <f t="shared" ca="1" si="37"/>
        <v>0</v>
      </c>
      <c r="E101" s="4">
        <f t="shared" ca="1" si="38"/>
        <v>0</v>
      </c>
      <c r="F101" s="4">
        <f t="shared" ca="1" si="39"/>
        <v>0</v>
      </c>
      <c r="G101" s="4">
        <f t="shared" ca="1" si="40"/>
        <v>0</v>
      </c>
      <c r="H101" s="4">
        <f t="shared" si="41"/>
        <v>0</v>
      </c>
      <c r="I101" s="4">
        <f t="shared" ca="1" si="42"/>
        <v>0</v>
      </c>
      <c r="J101" s="4">
        <f t="shared" ca="1" si="43"/>
        <v>0</v>
      </c>
      <c r="K101" s="4">
        <f t="shared" ca="1" si="44"/>
        <v>0</v>
      </c>
      <c r="L101" s="4">
        <f t="shared" ca="1" si="45"/>
        <v>0</v>
      </c>
      <c r="M101" s="4">
        <f t="shared" ca="1" si="46"/>
        <v>0</v>
      </c>
      <c r="N101" s="4" t="str">
        <f t="shared" si="33"/>
        <v/>
      </c>
      <c r="O101" s="4" t="str">
        <f t="shared" si="34"/>
        <v/>
      </c>
    </row>
    <row r="102" spans="1:15">
      <c r="A102">
        <f t="shared" si="47"/>
        <v>97</v>
      </c>
      <c r="B102" t="str">
        <f t="shared" ref="B102:B105" si="48">IF(A102&lt;=_Lebensdauer,A102,"")</f>
        <v/>
      </c>
      <c r="C102" s="3">
        <f t="shared" ref="C102:C105" si="49">IF(ISNUMBER(B102),$C$5-B102*_Degradation_pro_Jahr_Standard,0)</f>
        <v>0</v>
      </c>
      <c r="D102" s="4">
        <f t="shared" ref="D102:D105" ca="1" si="50">_Ertrag_max*C102/100</f>
        <v>0</v>
      </c>
      <c r="E102" s="4">
        <f t="shared" ref="E102:E105" ca="1" si="51">D102*_ENG_Rechenwert/100</f>
        <v>0</v>
      </c>
      <c r="F102" s="4">
        <f t="shared" ref="F102:F105" ca="1" si="52">(D102-E102)*_Tarif_Rücklieferung/100</f>
        <v>0</v>
      </c>
      <c r="G102" s="4">
        <f t="shared" ca="1" si="40"/>
        <v>0</v>
      </c>
      <c r="H102" s="4">
        <f t="shared" si="41"/>
        <v>0</v>
      </c>
      <c r="I102" s="4">
        <f t="shared" ca="1" si="42"/>
        <v>0</v>
      </c>
      <c r="J102" s="4">
        <f t="shared" ca="1" si="43"/>
        <v>0</v>
      </c>
      <c r="K102" s="4">
        <f t="shared" ref="K102:K105" ca="1" si="53">SUM(F102:J102)</f>
        <v>0</v>
      </c>
      <c r="L102" s="4">
        <f t="shared" ref="L102:L105" ca="1" si="54">L101+K102</f>
        <v>0</v>
      </c>
      <c r="M102" s="4">
        <f t="shared" ref="M102:M105" ca="1" si="55">IF(AND(L101&lt;0,L102&gt;=0),B102,0)</f>
        <v>0</v>
      </c>
      <c r="N102" s="4" t="str">
        <f t="shared" si="33"/>
        <v/>
      </c>
      <c r="O102" s="4" t="str">
        <f t="shared" si="34"/>
        <v/>
      </c>
    </row>
    <row r="103" spans="1:15">
      <c r="A103">
        <f t="shared" si="47"/>
        <v>98</v>
      </c>
      <c r="B103" t="str">
        <f t="shared" si="48"/>
        <v/>
      </c>
      <c r="C103" s="3">
        <f t="shared" si="49"/>
        <v>0</v>
      </c>
      <c r="D103" s="4">
        <f t="shared" ca="1" si="50"/>
        <v>0</v>
      </c>
      <c r="E103" s="4">
        <f t="shared" ca="1" si="51"/>
        <v>0</v>
      </c>
      <c r="F103" s="4">
        <f t="shared" ca="1" si="52"/>
        <v>0</v>
      </c>
      <c r="G103" s="4">
        <f t="shared" ca="1" si="40"/>
        <v>0</v>
      </c>
      <c r="H103" s="4">
        <f t="shared" si="41"/>
        <v>0</v>
      </c>
      <c r="I103" s="4">
        <f t="shared" ca="1" si="42"/>
        <v>0</v>
      </c>
      <c r="J103" s="4">
        <f t="shared" ca="1" si="43"/>
        <v>0</v>
      </c>
      <c r="K103" s="4">
        <f t="shared" ca="1" si="53"/>
        <v>0</v>
      </c>
      <c r="L103" s="4">
        <f t="shared" ca="1" si="54"/>
        <v>0</v>
      </c>
      <c r="M103" s="4">
        <f t="shared" ca="1" si="55"/>
        <v>0</v>
      </c>
      <c r="N103" s="4" t="str">
        <f t="shared" si="33"/>
        <v/>
      </c>
      <c r="O103" s="4" t="str">
        <f t="shared" si="34"/>
        <v/>
      </c>
    </row>
    <row r="104" spans="1:15">
      <c r="A104">
        <f t="shared" si="47"/>
        <v>99</v>
      </c>
      <c r="B104" t="str">
        <f t="shared" si="48"/>
        <v/>
      </c>
      <c r="C104" s="3">
        <f t="shared" si="49"/>
        <v>0</v>
      </c>
      <c r="D104" s="4">
        <f t="shared" ca="1" si="50"/>
        <v>0</v>
      </c>
      <c r="E104" s="4">
        <f t="shared" ca="1" si="51"/>
        <v>0</v>
      </c>
      <c r="F104" s="4">
        <f t="shared" ca="1" si="52"/>
        <v>0</v>
      </c>
      <c r="G104" s="4">
        <f t="shared" ca="1" si="40"/>
        <v>0</v>
      </c>
      <c r="H104" s="4">
        <f t="shared" si="41"/>
        <v>0</v>
      </c>
      <c r="I104" s="4">
        <f t="shared" ca="1" si="42"/>
        <v>0</v>
      </c>
      <c r="J104" s="4">
        <f t="shared" ca="1" si="43"/>
        <v>0</v>
      </c>
      <c r="K104" s="4">
        <f t="shared" ca="1" si="53"/>
        <v>0</v>
      </c>
      <c r="L104" s="4">
        <f t="shared" ca="1" si="54"/>
        <v>0</v>
      </c>
      <c r="M104" s="4">
        <f t="shared" ca="1" si="55"/>
        <v>0</v>
      </c>
      <c r="N104" s="4" t="str">
        <f t="shared" si="33"/>
        <v/>
      </c>
      <c r="O104" s="4" t="str">
        <f t="shared" si="34"/>
        <v/>
      </c>
    </row>
    <row r="105" spans="1:15">
      <c r="A105">
        <f t="shared" si="47"/>
        <v>100</v>
      </c>
      <c r="B105" t="str">
        <f t="shared" si="48"/>
        <v/>
      </c>
      <c r="C105" s="3">
        <f t="shared" si="49"/>
        <v>0</v>
      </c>
      <c r="D105" s="4">
        <f t="shared" ca="1" si="50"/>
        <v>0</v>
      </c>
      <c r="E105" s="4">
        <f t="shared" ca="1" si="51"/>
        <v>0</v>
      </c>
      <c r="F105" s="4">
        <f t="shared" ca="1" si="52"/>
        <v>0</v>
      </c>
      <c r="G105" s="4">
        <f t="shared" ca="1" si="40"/>
        <v>0</v>
      </c>
      <c r="H105" s="4">
        <f t="shared" si="41"/>
        <v>0</v>
      </c>
      <c r="I105" s="4">
        <f t="shared" ca="1" si="42"/>
        <v>0</v>
      </c>
      <c r="J105" s="4">
        <f t="shared" ca="1" si="43"/>
        <v>0</v>
      </c>
      <c r="K105" s="4">
        <f t="shared" ca="1" si="53"/>
        <v>0</v>
      </c>
      <c r="L105" s="4">
        <f t="shared" ca="1" si="54"/>
        <v>0</v>
      </c>
      <c r="M105" s="4">
        <f t="shared" ca="1" si="55"/>
        <v>0</v>
      </c>
      <c r="N105" s="4" t="str">
        <f t="shared" si="33"/>
        <v/>
      </c>
      <c r="O105" s="4" t="str">
        <f t="shared" si="34"/>
        <v/>
      </c>
    </row>
    <row r="123" spans="4:4">
      <c r="D123" s="7"/>
    </row>
  </sheetData>
  <sheetProtection algorithmName="SHA-512" hashValue="fS+wjr6ziMeZQpV76azS9uUd2RhZpIr6KOssBeGB7Efl8UViksZ7gwN5fqRaKEl1PWWihnZs7c/u95pfGyywig==" saltValue="1dAkAmj76xfrj0Vcwi1UqA==" spinCount="100000" sheet="1" objects="1" scenarios="1" autoFilter="0"/>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I80"/>
  <sheetViews>
    <sheetView tabSelected="1" zoomScaleNormal="100" workbookViewId="0">
      <selection activeCell="N4" sqref="N4"/>
    </sheetView>
  </sheetViews>
  <sheetFormatPr baseColWidth="10" defaultColWidth="0" defaultRowHeight="15" zeroHeight="1"/>
  <cols>
    <col min="1" max="1" width="2.7109375" customWidth="1"/>
    <col min="2" max="2" width="4.7109375" customWidth="1"/>
    <col min="3" max="3" width="23" customWidth="1"/>
    <col min="4" max="4" width="9.7109375" customWidth="1"/>
    <col min="5" max="7" width="6.42578125" customWidth="1"/>
    <col min="8" max="9" width="10.5703125" customWidth="1"/>
    <col min="10" max="11" width="16.7109375" customWidth="1"/>
    <col min="12" max="12" width="12.5703125" customWidth="1"/>
    <col min="13" max="13" width="17.140625" customWidth="1"/>
    <col min="14" max="14" width="19.85546875" customWidth="1"/>
    <col min="15" max="15" width="2.5703125" customWidth="1"/>
    <col min="16" max="16" width="5.85546875" hidden="1" customWidth="1"/>
    <col min="17" max="17" width="18.5703125" style="246" hidden="1" customWidth="1"/>
    <col min="18" max="18" width="9.28515625" style="246" hidden="1" customWidth="1"/>
    <col min="19" max="19" width="6.28515625" style="246" hidden="1" customWidth="1"/>
    <col min="20" max="20" width="8.42578125" style="246" hidden="1" customWidth="1"/>
    <col min="21" max="25" width="8.28515625" style="246" hidden="1" customWidth="1"/>
    <col min="26" max="27" width="6.28515625" hidden="1" customWidth="1"/>
    <col min="28" max="16384" width="11.42578125" hidden="1"/>
  </cols>
  <sheetData>
    <row r="1" spans="1:35" ht="15.75" thickBot="1">
      <c r="A1" s="27" t="str">
        <f ca="1">MID(CELL("dateiname",A1),SEARCH("]",CELL("dateiname",A1))+1,31)</f>
        <v>Bericht</v>
      </c>
    </row>
    <row r="2" spans="1:35" ht="14.45" customHeight="1">
      <c r="B2" s="359"/>
      <c r="C2" s="360"/>
      <c r="D2" s="368"/>
      <c r="E2" s="632" t="str">
        <f>_Dok_Titel</f>
        <v>Planungshilfe
Solar- und Photovoltaikanlagen auf Schrägdächern (Art. 77 Abs. 3 und 4 BZR)
Formular-Release 2.5</v>
      </c>
      <c r="F2" s="632"/>
      <c r="G2" s="632"/>
      <c r="H2" s="632"/>
      <c r="I2" s="632"/>
      <c r="J2" s="632"/>
      <c r="K2" s="632"/>
      <c r="L2" s="632"/>
      <c r="M2" s="632"/>
      <c r="N2" s="361"/>
      <c r="Q2" s="274"/>
      <c r="R2" s="274"/>
      <c r="S2" s="274"/>
      <c r="T2" s="274"/>
      <c r="U2" s="274"/>
      <c r="V2" s="274"/>
      <c r="W2" s="274"/>
      <c r="X2" s="274"/>
      <c r="Y2" s="274"/>
    </row>
    <row r="3" spans="1:35" ht="14.45" customHeight="1">
      <c r="B3" s="362"/>
      <c r="C3" s="363"/>
      <c r="D3" s="369"/>
      <c r="E3" s="633"/>
      <c r="F3" s="633"/>
      <c r="G3" s="633"/>
      <c r="H3" s="633"/>
      <c r="I3" s="633"/>
      <c r="J3" s="633"/>
      <c r="K3" s="633"/>
      <c r="L3" s="633"/>
      <c r="M3" s="633"/>
      <c r="N3" s="364"/>
      <c r="Q3" s="274"/>
      <c r="R3" s="274"/>
      <c r="S3" s="274"/>
      <c r="T3" s="274"/>
      <c r="U3" s="274"/>
      <c r="V3" s="274"/>
      <c r="W3" s="274"/>
      <c r="X3" s="274"/>
      <c r="Y3" s="274"/>
    </row>
    <row r="4" spans="1:35" ht="51.75" customHeight="1" thickBot="1">
      <c r="B4" s="365"/>
      <c r="C4" s="366"/>
      <c r="D4" s="370"/>
      <c r="E4" s="634"/>
      <c r="F4" s="634"/>
      <c r="G4" s="634"/>
      <c r="H4" s="634"/>
      <c r="I4" s="634"/>
      <c r="J4" s="634"/>
      <c r="K4" s="634"/>
      <c r="L4" s="634"/>
      <c r="M4" s="634"/>
      <c r="N4" s="367"/>
      <c r="Q4" s="274"/>
      <c r="R4" s="274"/>
      <c r="S4" s="274"/>
      <c r="T4" s="274"/>
      <c r="U4" s="274"/>
      <c r="V4" s="274"/>
      <c r="W4" s="274"/>
      <c r="X4" s="274"/>
      <c r="Y4" s="274"/>
    </row>
    <row r="5" spans="1:35" ht="12.75" customHeight="1" thickBot="1"/>
    <row r="6" spans="1:35" s="21" customFormat="1" ht="21.75" thickBot="1">
      <c r="B6" s="18" t="s">
        <v>26</v>
      </c>
      <c r="C6" s="19"/>
      <c r="D6" s="19"/>
      <c r="E6" s="19"/>
      <c r="F6" s="19"/>
      <c r="G6" s="19"/>
      <c r="H6" s="19"/>
      <c r="I6" s="19"/>
      <c r="J6" s="19"/>
      <c r="K6" s="19"/>
      <c r="L6" s="19"/>
      <c r="M6" s="19"/>
      <c r="N6" s="20"/>
      <c r="P6"/>
      <c r="Q6" s="275"/>
      <c r="R6" s="275"/>
      <c r="S6" s="275"/>
      <c r="T6" s="275"/>
      <c r="U6" s="275"/>
      <c r="V6" s="275"/>
      <c r="W6" s="275"/>
      <c r="X6" s="275"/>
      <c r="Y6" s="275"/>
    </row>
    <row r="7" spans="1:35" s="28" customFormat="1" ht="19.149999999999999" customHeight="1">
      <c r="B7" s="551" t="s">
        <v>24</v>
      </c>
      <c r="C7" s="552"/>
      <c r="D7" s="569"/>
      <c r="E7" s="569"/>
      <c r="F7" s="569"/>
      <c r="G7" s="569"/>
      <c r="H7" s="569"/>
      <c r="I7" s="486"/>
      <c r="J7" s="552" t="s">
        <v>308</v>
      </c>
      <c r="K7" s="552"/>
      <c r="L7" s="644" t="s">
        <v>61</v>
      </c>
      <c r="M7" s="644"/>
      <c r="N7" s="645"/>
      <c r="Q7" s="418" t="s">
        <v>138</v>
      </c>
      <c r="R7" s="419"/>
      <c r="S7" s="420"/>
      <c r="T7" s="421"/>
      <c r="U7" s="419"/>
      <c r="V7" s="419"/>
      <c r="W7" s="422"/>
      <c r="X7" s="423"/>
      <c r="Y7" s="279"/>
    </row>
    <row r="8" spans="1:35" s="28" customFormat="1" ht="19.149999999999999" customHeight="1">
      <c r="B8" s="553" t="s">
        <v>0</v>
      </c>
      <c r="C8" s="554"/>
      <c r="D8" s="570"/>
      <c r="E8" s="570"/>
      <c r="F8" s="570"/>
      <c r="G8" s="570"/>
      <c r="H8" s="570"/>
      <c r="I8" s="487"/>
      <c r="J8" s="554" t="s">
        <v>307</v>
      </c>
      <c r="K8" s="554"/>
      <c r="L8" s="646"/>
      <c r="M8" s="646"/>
      <c r="N8" s="647"/>
      <c r="Q8" s="424" t="s">
        <v>139</v>
      </c>
      <c r="R8" s="424" t="s">
        <v>140</v>
      </c>
      <c r="S8" s="420"/>
      <c r="T8" s="421"/>
      <c r="U8" s="419"/>
      <c r="V8" s="419"/>
      <c r="W8" s="422"/>
      <c r="X8" s="423"/>
      <c r="Y8" s="280"/>
    </row>
    <row r="9" spans="1:35" s="28" customFormat="1" ht="19.149999999999999" customHeight="1">
      <c r="B9" s="553" t="s">
        <v>98</v>
      </c>
      <c r="C9" s="554"/>
      <c r="D9" s="570"/>
      <c r="E9" s="570"/>
      <c r="F9" s="570"/>
      <c r="G9" s="570"/>
      <c r="H9" s="570"/>
      <c r="I9" s="487"/>
      <c r="J9" s="554" t="s">
        <v>277</v>
      </c>
      <c r="K9" s="554"/>
      <c r="L9" s="597">
        <f>_Letzte_REV</f>
        <v>46042</v>
      </c>
      <c r="M9" s="597"/>
      <c r="N9" s="598"/>
      <c r="Q9" s="418" t="s">
        <v>172</v>
      </c>
      <c r="R9" s="418" t="b">
        <f>D10=R8</f>
        <v>0</v>
      </c>
      <c r="S9" s="420"/>
      <c r="T9" s="421"/>
      <c r="U9" s="419"/>
      <c r="V9" s="419"/>
      <c r="W9" s="422"/>
      <c r="X9" s="423"/>
      <c r="Y9" s="280"/>
    </row>
    <row r="10" spans="1:35" s="28" customFormat="1" ht="19.149999999999999" customHeight="1" thickBot="1">
      <c r="B10" s="555" t="s">
        <v>138</v>
      </c>
      <c r="C10" s="556"/>
      <c r="D10" s="571"/>
      <c r="E10" s="571"/>
      <c r="F10" s="571"/>
      <c r="G10" s="571"/>
      <c r="H10" s="571"/>
      <c r="I10" s="488"/>
      <c r="J10" s="556" t="s">
        <v>278</v>
      </c>
      <c r="K10" s="556"/>
      <c r="L10" s="599">
        <f>_Nächste_REV</f>
        <v>46357</v>
      </c>
      <c r="M10" s="599"/>
      <c r="N10" s="600"/>
      <c r="Q10" s="419" t="s">
        <v>173</v>
      </c>
      <c r="R10" s="484">
        <f>IF(_Ist_MWSt,(100+_MWSt_Satz)/100,1)</f>
        <v>1</v>
      </c>
      <c r="S10" s="420"/>
      <c r="T10" s="421"/>
      <c r="U10" s="419"/>
      <c r="V10" s="419"/>
      <c r="W10" s="420"/>
      <c r="X10" s="425"/>
      <c r="Y10" s="280"/>
    </row>
    <row r="11" spans="1:35" s="28" customFormat="1" ht="12.75" customHeight="1" thickBot="1">
      <c r="I11" s="101"/>
      <c r="J11" s="101"/>
      <c r="N11" s="412"/>
      <c r="Q11" s="246"/>
      <c r="R11" s="246"/>
      <c r="S11" s="277"/>
      <c r="T11" s="278"/>
      <c r="U11" s="276"/>
      <c r="V11" s="276"/>
      <c r="W11" s="277"/>
      <c r="X11" s="280"/>
      <c r="Y11" s="280"/>
    </row>
    <row r="12" spans="1:35" s="21" customFormat="1" ht="21.75" thickBot="1">
      <c r="B12" s="18" t="s">
        <v>78</v>
      </c>
      <c r="C12" s="19"/>
      <c r="D12" s="19"/>
      <c r="E12" s="19"/>
      <c r="F12" s="19"/>
      <c r="G12" s="19"/>
      <c r="H12" s="19"/>
      <c r="I12" s="19"/>
      <c r="J12" s="19"/>
      <c r="K12" s="19"/>
      <c r="L12" s="19"/>
      <c r="M12" s="19"/>
      <c r="N12" s="20"/>
      <c r="Q12" s="281"/>
      <c r="R12" s="281"/>
      <c r="S12" s="281"/>
      <c r="T12" s="281"/>
      <c r="U12" s="281"/>
      <c r="V12" s="281"/>
      <c r="W12" s="281"/>
      <c r="X12" s="275"/>
      <c r="Y12" s="275"/>
    </row>
    <row r="13" spans="1:35" s="28" customFormat="1" ht="19.149999999999999" customHeight="1">
      <c r="B13" s="102" t="s">
        <v>41</v>
      </c>
      <c r="C13" s="50" t="s">
        <v>20</v>
      </c>
      <c r="D13" s="601" t="s">
        <v>128</v>
      </c>
      <c r="E13" s="602"/>
      <c r="F13" s="602"/>
      <c r="G13" s="603"/>
      <c r="H13" s="601" t="s">
        <v>39</v>
      </c>
      <c r="I13" s="603"/>
      <c r="J13" s="601" t="s">
        <v>111</v>
      </c>
      <c r="K13" s="603"/>
      <c r="L13" s="601" t="s">
        <v>112</v>
      </c>
      <c r="M13" s="602"/>
      <c r="N13" s="604"/>
      <c r="Q13" s="282"/>
      <c r="R13" s="283" t="s">
        <v>101</v>
      </c>
      <c r="S13" s="283" t="s">
        <v>101</v>
      </c>
      <c r="T13" s="284"/>
      <c r="U13" s="542" t="str">
        <f>'TF (1)'!D34</f>
        <v>Spez. Ertrag Eingabe</v>
      </c>
      <c r="V13" s="542" t="s">
        <v>152</v>
      </c>
      <c r="W13" s="542" t="s">
        <v>156</v>
      </c>
      <c r="X13" s="542" t="s">
        <v>132</v>
      </c>
      <c r="Y13" s="542" t="s">
        <v>131</v>
      </c>
      <c r="Z13" s="542" t="s">
        <v>344</v>
      </c>
      <c r="AA13" s="545" t="s">
        <v>345</v>
      </c>
      <c r="AB13" s="541" t="s">
        <v>197</v>
      </c>
      <c r="AC13" s="541"/>
      <c r="AD13" s="541"/>
      <c r="AE13" s="541"/>
      <c r="AF13" s="541" t="s">
        <v>198</v>
      </c>
      <c r="AG13" s="541"/>
      <c r="AH13" s="541"/>
      <c r="AI13" s="541"/>
    </row>
    <row r="14" spans="1:35" s="38" customFormat="1" ht="15" customHeight="1">
      <c r="B14" s="237"/>
      <c r="C14" s="238" t="str">
        <f>'TF (1)'!D15</f>
        <v>Bez.</v>
      </c>
      <c r="D14" s="103" t="str">
        <f>'TF (1)'!D17</f>
        <v>Fläche</v>
      </c>
      <c r="E14" s="103" t="str">
        <f>'TF (1)'!D18</f>
        <v>Az.</v>
      </c>
      <c r="F14" s="103" t="s">
        <v>38</v>
      </c>
      <c r="G14" s="103" t="s">
        <v>366</v>
      </c>
      <c r="H14" s="103" t="str">
        <f>'TF (1)'!D27</f>
        <v>Max.</v>
      </c>
      <c r="I14" s="103" t="str">
        <f>'TF (1)'!D28</f>
        <v>Ges. Min.</v>
      </c>
      <c r="J14" s="104" t="str">
        <f>H14</f>
        <v>Max.</v>
      </c>
      <c r="K14" s="104" t="str">
        <f>I14</f>
        <v>Ges. Min.</v>
      </c>
      <c r="L14" s="104" t="str">
        <f>'TF (1)'!D35</f>
        <v>Spez. Ertrag</v>
      </c>
      <c r="M14" s="104" t="str">
        <f>H14</f>
        <v>Max.</v>
      </c>
      <c r="N14" s="105" t="str">
        <f>I14</f>
        <v>Ges. Min.</v>
      </c>
      <c r="Q14" s="285"/>
      <c r="R14" s="286" t="s">
        <v>348</v>
      </c>
      <c r="S14" s="286" t="s">
        <v>349</v>
      </c>
      <c r="T14" s="287" t="str">
        <f>'TF (1)'!D26</f>
        <v>Leist.</v>
      </c>
      <c r="U14" s="543"/>
      <c r="V14" s="543"/>
      <c r="W14" s="543"/>
      <c r="X14" s="543"/>
      <c r="Y14" s="543"/>
      <c r="Z14" s="543"/>
      <c r="AA14" s="546"/>
      <c r="AB14" s="288" t="s">
        <v>346</v>
      </c>
      <c r="AC14" s="288" t="s">
        <v>361</v>
      </c>
      <c r="AD14" s="288" t="s">
        <v>336</v>
      </c>
      <c r="AE14" s="288" t="s">
        <v>337</v>
      </c>
      <c r="AF14" s="288" t="s">
        <v>346</v>
      </c>
      <c r="AG14" s="288" t="s">
        <v>361</v>
      </c>
      <c r="AH14" s="288" t="s">
        <v>336</v>
      </c>
      <c r="AI14" s="288" t="s">
        <v>337</v>
      </c>
    </row>
    <row r="15" spans="1:35" s="38" customFormat="1" ht="15" customHeight="1">
      <c r="B15" s="106"/>
      <c r="C15" s="107"/>
      <c r="D15" s="108" t="s">
        <v>130</v>
      </c>
      <c r="E15" s="108"/>
      <c r="F15" s="108"/>
      <c r="G15" s="108"/>
      <c r="H15" s="108" t="s">
        <v>43</v>
      </c>
      <c r="I15" s="108" t="s">
        <v>43</v>
      </c>
      <c r="J15" s="108" t="s">
        <v>23</v>
      </c>
      <c r="K15" s="108" t="s">
        <v>23</v>
      </c>
      <c r="L15" s="108" t="s">
        <v>42</v>
      </c>
      <c r="M15" s="108" t="s">
        <v>2</v>
      </c>
      <c r="N15" s="109" t="s">
        <v>2</v>
      </c>
      <c r="Q15" s="289"/>
      <c r="R15" s="290"/>
      <c r="S15" s="290"/>
      <c r="T15" s="291" t="s">
        <v>44</v>
      </c>
      <c r="U15" s="544"/>
      <c r="V15" s="544"/>
      <c r="W15" s="544"/>
      <c r="X15" s="544"/>
      <c r="Y15" s="544"/>
      <c r="Z15" s="544"/>
      <c r="AA15" s="547"/>
      <c r="AB15" s="292" t="s">
        <v>365</v>
      </c>
      <c r="AC15" s="292" t="s">
        <v>364</v>
      </c>
      <c r="AD15" s="292" t="s">
        <v>362</v>
      </c>
      <c r="AE15" s="292" t="s">
        <v>363</v>
      </c>
      <c r="AF15" s="292" t="s">
        <v>365</v>
      </c>
      <c r="AG15" s="292" t="s">
        <v>364</v>
      </c>
      <c r="AH15" s="292" t="s">
        <v>362</v>
      </c>
      <c r="AI15" s="292" t="s">
        <v>363</v>
      </c>
    </row>
    <row r="16" spans="1:35" s="28" customFormat="1" ht="19.149999999999999" customHeight="1">
      <c r="B16" s="110">
        <v>1</v>
      </c>
      <c r="C16" s="52">
        <f t="shared" ref="C16:C27" ca="1" si="0">IFERROR(VLOOKUP(C$14,INDIRECT($Q16),2,FALSE),"")</f>
        <v>0</v>
      </c>
      <c r="D16" s="450" t="str">
        <f t="shared" ref="D16:D27" ca="1" si="1">IF(ISNUMBER(VLOOKUP(D$14,INDIRECT($Q16),2,FALSE)),VLOOKUP(D$14,INDIRECT($Q16),2,FALSE),"")</f>
        <v/>
      </c>
      <c r="E16" s="263" t="str">
        <f t="shared" ref="E16:F27" ca="1" si="2">IF(ISNUMBER(D16),VLOOKUP(E$14,INDIRECT($Q16),2,FALSE),"")</f>
        <v/>
      </c>
      <c r="F16" s="263" t="str">
        <f t="shared" ca="1" si="2"/>
        <v/>
      </c>
      <c r="G16" s="263" t="str">
        <f t="shared" ref="G16:G27" ca="1" si="3">IF(ISNUMBER(D16),VLOOKUP(G$14,INDIRECT($Q16),2,FALSE),"")</f>
        <v/>
      </c>
      <c r="H16" s="53" t="str">
        <f t="shared" ref="H16:H27" ca="1" si="4">IF(ISNUMBER(D16),VLOOKUP(H$14,INDIRECT($Q16),2,FALSE),"")</f>
        <v/>
      </c>
      <c r="I16" s="53" t="str">
        <f t="shared" ref="I16:I27" ca="1" si="5">IF(ISNUMBER(D16),VLOOKUP(I$14,INDIRECT($Q16),2,FALSE),"")</f>
        <v/>
      </c>
      <c r="J16" s="54" t="str">
        <f t="shared" ref="J16:J27" ca="1" si="6">IFERROR(H16*$T16/1000,"")</f>
        <v/>
      </c>
      <c r="K16" s="54" t="str">
        <f t="shared" ref="K16:K27" ca="1" si="7">IFERROR(I16*$T16/1000,"")</f>
        <v/>
      </c>
      <c r="L16" s="53" t="str">
        <f ca="1">IF(AND(ISNUMBER(E16),ISNUMBER(F16)),VLOOKUP(L$14,INDIRECT($Q16),2,FALSE),"")</f>
        <v/>
      </c>
      <c r="M16" s="53" t="str">
        <f t="shared" ref="M16:M27" ca="1" si="8">IFERROR(J16*$L16,"")</f>
        <v/>
      </c>
      <c r="N16" s="111" t="str">
        <f t="shared" ref="N16:N27" ca="1" si="9">IFERROR(K16*$L16,"")</f>
        <v/>
      </c>
      <c r="Q16" s="293" t="str">
        <f>"'"&amp;$B$13&amp;" ("&amp;B16&amp;")'!D:H"</f>
        <v>'TF (1)'!D:H</v>
      </c>
      <c r="R16" s="477">
        <f t="shared" ref="R16:R27" ca="1" si="10">IF(ISNUMBER($D16),IF((ABS($E16)+_AbweichungNord)&gt;=180,H16,0),0)</f>
        <v>0</v>
      </c>
      <c r="S16" s="477">
        <f t="shared" ref="S16:S27" ca="1" si="11">IF(ISNUMBER($D16),IF((ABS($E16)+_AbweichungNord)&gt;=180,I16,0),0)</f>
        <v>0</v>
      </c>
      <c r="T16" s="477">
        <f ca="1">IFERROR(VLOOKUP(T$14,INDIRECT($Q16),2,FALSE),"")</f>
        <v>485</v>
      </c>
      <c r="U16" s="294">
        <f t="shared" ref="U16:U27" ca="1" si="12">IF(AND(ISNUMBER(D16),ISNUMBER(H16)),VLOOKUP(U$13,INDIRECT($Q16),2,FALSE),0)</f>
        <v>0</v>
      </c>
      <c r="V16" s="294">
        <f t="shared" ref="V16:V27" ca="1" si="13">IF(U16&gt;0,1,0)</f>
        <v>0</v>
      </c>
      <c r="W16" s="294">
        <f t="shared" ref="W16:W27" ca="1" si="14">IF(V16=1,IF(ISTEXT(W15),W15&amp;", "&amp;B16," "&amp;B16),W15)</f>
        <v>0</v>
      </c>
      <c r="X16" s="294">
        <f t="shared" ref="X16:X27" ca="1" si="15">IF(AND(ISNUMBER(M16),M16&gt;0),1,0)</f>
        <v>0</v>
      </c>
      <c r="Y16" s="294">
        <f t="shared" ref="Y16:Y27" ca="1" si="16">IF(AND(M16&lt;&gt;N16,N16&gt;0),1,0)</f>
        <v>0</v>
      </c>
      <c r="Z16" s="294">
        <f t="shared" ref="Z16:Z27" ca="1" si="17">IF(AND(G16&gt;=_Neigungswinkel_für_NB_Bund,G16&lt;=90),1,0)</f>
        <v>0</v>
      </c>
      <c r="AA16" s="294">
        <f t="shared" ref="AA16:AA27" ca="1" si="18">IF(ISNUMBER($D16),IF(AND((ABS($E16)+_AbweichungNord)&gt;=180,Z16=0),1,0),0)</f>
        <v>0</v>
      </c>
      <c r="AB16" s="294" t="str">
        <f ca="1">IF(ISNUMBER($D16),VLOOKUP(AB$15,INDIRECT($Q16),2,FALSE),"")</f>
        <v/>
      </c>
      <c r="AC16" s="294" t="str">
        <f t="shared" ref="AC16:AE27" ca="1" si="19">IF(ISNUMBER($D16),VLOOKUP(AC$15,INDIRECT($Q16),2,FALSE),"")</f>
        <v/>
      </c>
      <c r="AD16" s="294" t="str">
        <f t="shared" ca="1" si="19"/>
        <v/>
      </c>
      <c r="AE16" s="294" t="str">
        <f t="shared" ca="1" si="19"/>
        <v/>
      </c>
      <c r="AF16" s="294" t="str">
        <f ca="1">IF(ISNUMBER($D16),VLOOKUP(AF$15,INDIRECT($Q16),5,FALSE),"")</f>
        <v/>
      </c>
      <c r="AG16" s="294" t="str">
        <f ca="1">IF(ISNUMBER($D16),VLOOKUP(AG$15,INDIRECT($Q16),5,FALSE),"")</f>
        <v/>
      </c>
      <c r="AH16" s="294" t="str">
        <f ca="1">IF(ISNUMBER($D16),VLOOKUP(AH$15,INDIRECT($Q16),5,FALSE),"")</f>
        <v/>
      </c>
      <c r="AI16" s="294" t="str">
        <f ca="1">IF(ISNUMBER($D16),VLOOKUP(AI$15,INDIRECT($Q16),5,FALSE),"")</f>
        <v/>
      </c>
    </row>
    <row r="17" spans="2:35" s="28" customFormat="1" ht="19.149999999999999" customHeight="1">
      <c r="B17" s="112">
        <f>B16+1</f>
        <v>2</v>
      </c>
      <c r="C17" s="55">
        <f t="shared" ca="1" si="0"/>
        <v>0</v>
      </c>
      <c r="D17" s="451" t="str">
        <f t="shared" ca="1" si="1"/>
        <v/>
      </c>
      <c r="E17" s="264" t="str">
        <f t="shared" ca="1" si="2"/>
        <v/>
      </c>
      <c r="F17" s="264" t="str">
        <f t="shared" ca="1" si="2"/>
        <v/>
      </c>
      <c r="G17" s="264" t="str">
        <f t="shared" ca="1" si="3"/>
        <v/>
      </c>
      <c r="H17" s="56" t="str">
        <f t="shared" ca="1" si="4"/>
        <v/>
      </c>
      <c r="I17" s="56" t="str">
        <f t="shared" ca="1" si="5"/>
        <v/>
      </c>
      <c r="J17" s="57" t="str">
        <f t="shared" ca="1" si="6"/>
        <v/>
      </c>
      <c r="K17" s="58" t="str">
        <f t="shared" ca="1" si="7"/>
        <v/>
      </c>
      <c r="L17" s="57" t="str">
        <f t="shared" ref="L17:L27" ca="1" si="20">IF(AND(ISNUMBER(E17),ISNUMBER(F17)),VLOOKUP(L$14,INDIRECT($Q17),2,FALSE),"")</f>
        <v/>
      </c>
      <c r="M17" s="56" t="str">
        <f t="shared" ca="1" si="8"/>
        <v/>
      </c>
      <c r="N17" s="113" t="str">
        <f t="shared" ca="1" si="9"/>
        <v/>
      </c>
      <c r="Q17" s="295" t="str">
        <f t="shared" ref="Q17:Q27" si="21">"'"&amp;$B$13&amp;" ("&amp;B17&amp;")'!D:H"</f>
        <v>'TF (2)'!D:H</v>
      </c>
      <c r="R17" s="478">
        <f t="shared" ca="1" si="10"/>
        <v>0</v>
      </c>
      <c r="S17" s="478">
        <f t="shared" ca="1" si="11"/>
        <v>0</v>
      </c>
      <c r="T17" s="478">
        <f t="shared" ref="T17:T27" ca="1" si="22">IFERROR(VLOOKUP(T$14,INDIRECT($Q17),2,FALSE),"")</f>
        <v>485</v>
      </c>
      <c r="U17" s="296">
        <f t="shared" ca="1" si="12"/>
        <v>0</v>
      </c>
      <c r="V17" s="296">
        <f t="shared" ca="1" si="13"/>
        <v>0</v>
      </c>
      <c r="W17" s="296">
        <f ca="1">IF(V17=1,IF(ISTEXT(W16),W16&amp;", "&amp;B17," "&amp;B17),W16)</f>
        <v>0</v>
      </c>
      <c r="X17" s="296">
        <f t="shared" ca="1" si="15"/>
        <v>0</v>
      </c>
      <c r="Y17" s="296">
        <f t="shared" ca="1" si="16"/>
        <v>0</v>
      </c>
      <c r="Z17" s="296">
        <f t="shared" ca="1" si="17"/>
        <v>0</v>
      </c>
      <c r="AA17" s="296">
        <f t="shared" ca="1" si="18"/>
        <v>0</v>
      </c>
      <c r="AB17" s="296" t="str">
        <f t="shared" ref="AB17:AB27" ca="1" si="23">IF(ISNUMBER($D17),VLOOKUP(AB$15,INDIRECT($Q17),2,FALSE),"")</f>
        <v/>
      </c>
      <c r="AC17" s="296" t="str">
        <f t="shared" ca="1" si="19"/>
        <v/>
      </c>
      <c r="AD17" s="296" t="str">
        <f t="shared" ca="1" si="19"/>
        <v/>
      </c>
      <c r="AE17" s="296" t="str">
        <f t="shared" ca="1" si="19"/>
        <v/>
      </c>
      <c r="AF17" s="296" t="str">
        <f t="shared" ref="AF17:AI27" ca="1" si="24">IF(ISNUMBER($D17),VLOOKUP(AF$15,INDIRECT($Q17),5,FALSE),"")</f>
        <v/>
      </c>
      <c r="AG17" s="296" t="str">
        <f t="shared" ca="1" si="24"/>
        <v/>
      </c>
      <c r="AH17" s="296" t="str">
        <f t="shared" ca="1" si="24"/>
        <v/>
      </c>
      <c r="AI17" s="296" t="str">
        <f t="shared" ca="1" si="24"/>
        <v/>
      </c>
    </row>
    <row r="18" spans="2:35" s="28" customFormat="1" ht="19.149999999999999" customHeight="1">
      <c r="B18" s="112">
        <f t="shared" ref="B18:B27" si="25">B17+1</f>
        <v>3</v>
      </c>
      <c r="C18" s="55">
        <f t="shared" ca="1" si="0"/>
        <v>0</v>
      </c>
      <c r="D18" s="451" t="str">
        <f t="shared" ca="1" si="1"/>
        <v/>
      </c>
      <c r="E18" s="264" t="str">
        <f t="shared" ca="1" si="2"/>
        <v/>
      </c>
      <c r="F18" s="264" t="str">
        <f t="shared" ca="1" si="2"/>
        <v/>
      </c>
      <c r="G18" s="264" t="str">
        <f t="shared" ca="1" si="3"/>
        <v/>
      </c>
      <c r="H18" s="56" t="str">
        <f t="shared" ca="1" si="4"/>
        <v/>
      </c>
      <c r="I18" s="56" t="str">
        <f t="shared" ca="1" si="5"/>
        <v/>
      </c>
      <c r="J18" s="57" t="str">
        <f t="shared" ca="1" si="6"/>
        <v/>
      </c>
      <c r="K18" s="58" t="str">
        <f t="shared" ca="1" si="7"/>
        <v/>
      </c>
      <c r="L18" s="57" t="str">
        <f t="shared" ca="1" si="20"/>
        <v/>
      </c>
      <c r="M18" s="56" t="str">
        <f t="shared" ca="1" si="8"/>
        <v/>
      </c>
      <c r="N18" s="113" t="str">
        <f t="shared" ca="1" si="9"/>
        <v/>
      </c>
      <c r="Q18" s="295" t="str">
        <f t="shared" si="21"/>
        <v>'TF (3)'!D:H</v>
      </c>
      <c r="R18" s="478">
        <f t="shared" ca="1" si="10"/>
        <v>0</v>
      </c>
      <c r="S18" s="478">
        <f t="shared" ca="1" si="11"/>
        <v>0</v>
      </c>
      <c r="T18" s="478">
        <f t="shared" ca="1" si="22"/>
        <v>485</v>
      </c>
      <c r="U18" s="296">
        <f t="shared" ca="1" si="12"/>
        <v>0</v>
      </c>
      <c r="V18" s="296">
        <f t="shared" ca="1" si="13"/>
        <v>0</v>
      </c>
      <c r="W18" s="296">
        <f t="shared" ca="1" si="14"/>
        <v>0</v>
      </c>
      <c r="X18" s="296">
        <f t="shared" ca="1" si="15"/>
        <v>0</v>
      </c>
      <c r="Y18" s="296">
        <f t="shared" ca="1" si="16"/>
        <v>0</v>
      </c>
      <c r="Z18" s="296">
        <f t="shared" ca="1" si="17"/>
        <v>0</v>
      </c>
      <c r="AA18" s="296">
        <f t="shared" ca="1" si="18"/>
        <v>0</v>
      </c>
      <c r="AB18" s="296" t="str">
        <f t="shared" ca="1" si="23"/>
        <v/>
      </c>
      <c r="AC18" s="296" t="str">
        <f t="shared" ca="1" si="19"/>
        <v/>
      </c>
      <c r="AD18" s="296" t="str">
        <f t="shared" ca="1" si="19"/>
        <v/>
      </c>
      <c r="AE18" s="296" t="str">
        <f t="shared" ca="1" si="19"/>
        <v/>
      </c>
      <c r="AF18" s="296" t="str">
        <f t="shared" ca="1" si="24"/>
        <v/>
      </c>
      <c r="AG18" s="296" t="str">
        <f t="shared" ca="1" si="24"/>
        <v/>
      </c>
      <c r="AH18" s="296" t="str">
        <f t="shared" ca="1" si="24"/>
        <v/>
      </c>
      <c r="AI18" s="296" t="str">
        <f t="shared" ca="1" si="24"/>
        <v/>
      </c>
    </row>
    <row r="19" spans="2:35" s="28" customFormat="1" ht="19.149999999999999" customHeight="1">
      <c r="B19" s="112">
        <f t="shared" si="25"/>
        <v>4</v>
      </c>
      <c r="C19" s="55">
        <f t="shared" ca="1" si="0"/>
        <v>0</v>
      </c>
      <c r="D19" s="451" t="str">
        <f t="shared" ca="1" si="1"/>
        <v/>
      </c>
      <c r="E19" s="264" t="str">
        <f t="shared" ca="1" si="2"/>
        <v/>
      </c>
      <c r="F19" s="264" t="str">
        <f t="shared" ca="1" si="2"/>
        <v/>
      </c>
      <c r="G19" s="264" t="str">
        <f t="shared" ca="1" si="3"/>
        <v/>
      </c>
      <c r="H19" s="56" t="str">
        <f t="shared" ca="1" si="4"/>
        <v/>
      </c>
      <c r="I19" s="56" t="str">
        <f t="shared" ca="1" si="5"/>
        <v/>
      </c>
      <c r="J19" s="57" t="str">
        <f t="shared" ca="1" si="6"/>
        <v/>
      </c>
      <c r="K19" s="58" t="str">
        <f t="shared" ca="1" si="7"/>
        <v/>
      </c>
      <c r="L19" s="57" t="str">
        <f t="shared" ca="1" si="20"/>
        <v/>
      </c>
      <c r="M19" s="56" t="str">
        <f t="shared" ca="1" si="8"/>
        <v/>
      </c>
      <c r="N19" s="113" t="str">
        <f t="shared" ca="1" si="9"/>
        <v/>
      </c>
      <c r="Q19" s="295" t="str">
        <f t="shared" si="21"/>
        <v>'TF (4)'!D:H</v>
      </c>
      <c r="R19" s="478">
        <f t="shared" ca="1" si="10"/>
        <v>0</v>
      </c>
      <c r="S19" s="478">
        <f t="shared" ca="1" si="11"/>
        <v>0</v>
      </c>
      <c r="T19" s="478">
        <f t="shared" ca="1" si="22"/>
        <v>485</v>
      </c>
      <c r="U19" s="296">
        <f t="shared" ca="1" si="12"/>
        <v>0</v>
      </c>
      <c r="V19" s="296">
        <f t="shared" ca="1" si="13"/>
        <v>0</v>
      </c>
      <c r="W19" s="296">
        <f t="shared" ca="1" si="14"/>
        <v>0</v>
      </c>
      <c r="X19" s="296">
        <f t="shared" ca="1" si="15"/>
        <v>0</v>
      </c>
      <c r="Y19" s="296">
        <f t="shared" ca="1" si="16"/>
        <v>0</v>
      </c>
      <c r="Z19" s="296">
        <f t="shared" ca="1" si="17"/>
        <v>0</v>
      </c>
      <c r="AA19" s="296">
        <f t="shared" ca="1" si="18"/>
        <v>0</v>
      </c>
      <c r="AB19" s="296" t="str">
        <f t="shared" ca="1" si="23"/>
        <v/>
      </c>
      <c r="AC19" s="296" t="str">
        <f t="shared" ca="1" si="19"/>
        <v/>
      </c>
      <c r="AD19" s="296" t="str">
        <f t="shared" ca="1" si="19"/>
        <v/>
      </c>
      <c r="AE19" s="296" t="str">
        <f t="shared" ca="1" si="19"/>
        <v/>
      </c>
      <c r="AF19" s="296" t="str">
        <f t="shared" ca="1" si="24"/>
        <v/>
      </c>
      <c r="AG19" s="296" t="str">
        <f t="shared" ca="1" si="24"/>
        <v/>
      </c>
      <c r="AH19" s="296" t="str">
        <f t="shared" ca="1" si="24"/>
        <v/>
      </c>
      <c r="AI19" s="296" t="str">
        <f t="shared" ca="1" si="24"/>
        <v/>
      </c>
    </row>
    <row r="20" spans="2:35" s="28" customFormat="1" ht="19.149999999999999" customHeight="1">
      <c r="B20" s="112">
        <f t="shared" si="25"/>
        <v>5</v>
      </c>
      <c r="C20" s="55">
        <f t="shared" ca="1" si="0"/>
        <v>0</v>
      </c>
      <c r="D20" s="451" t="str">
        <f t="shared" ca="1" si="1"/>
        <v/>
      </c>
      <c r="E20" s="264" t="str">
        <f t="shared" ca="1" si="2"/>
        <v/>
      </c>
      <c r="F20" s="264" t="str">
        <f t="shared" ca="1" si="2"/>
        <v/>
      </c>
      <c r="G20" s="264" t="str">
        <f t="shared" ca="1" si="3"/>
        <v/>
      </c>
      <c r="H20" s="56" t="str">
        <f t="shared" ca="1" si="4"/>
        <v/>
      </c>
      <c r="I20" s="56" t="str">
        <f t="shared" ca="1" si="5"/>
        <v/>
      </c>
      <c r="J20" s="57" t="str">
        <f t="shared" ca="1" si="6"/>
        <v/>
      </c>
      <c r="K20" s="58" t="str">
        <f t="shared" ca="1" si="7"/>
        <v/>
      </c>
      <c r="L20" s="57" t="str">
        <f t="shared" ca="1" si="20"/>
        <v/>
      </c>
      <c r="M20" s="56" t="str">
        <f t="shared" ca="1" si="8"/>
        <v/>
      </c>
      <c r="N20" s="113" t="str">
        <f t="shared" ca="1" si="9"/>
        <v/>
      </c>
      <c r="Q20" s="295" t="str">
        <f t="shared" si="21"/>
        <v>'TF (5)'!D:H</v>
      </c>
      <c r="R20" s="478">
        <f t="shared" ca="1" si="10"/>
        <v>0</v>
      </c>
      <c r="S20" s="478">
        <f t="shared" ca="1" si="11"/>
        <v>0</v>
      </c>
      <c r="T20" s="478">
        <f t="shared" ca="1" si="22"/>
        <v>485</v>
      </c>
      <c r="U20" s="296">
        <f t="shared" ca="1" si="12"/>
        <v>0</v>
      </c>
      <c r="V20" s="296">
        <f t="shared" ca="1" si="13"/>
        <v>0</v>
      </c>
      <c r="W20" s="296">
        <f t="shared" ca="1" si="14"/>
        <v>0</v>
      </c>
      <c r="X20" s="296">
        <f t="shared" ca="1" si="15"/>
        <v>0</v>
      </c>
      <c r="Y20" s="296">
        <f t="shared" ca="1" si="16"/>
        <v>0</v>
      </c>
      <c r="Z20" s="296">
        <f t="shared" ca="1" si="17"/>
        <v>0</v>
      </c>
      <c r="AA20" s="296">
        <f t="shared" ca="1" si="18"/>
        <v>0</v>
      </c>
      <c r="AB20" s="296" t="str">
        <f t="shared" ca="1" si="23"/>
        <v/>
      </c>
      <c r="AC20" s="296" t="str">
        <f t="shared" ca="1" si="19"/>
        <v/>
      </c>
      <c r="AD20" s="296" t="str">
        <f t="shared" ca="1" si="19"/>
        <v/>
      </c>
      <c r="AE20" s="296" t="str">
        <f t="shared" ca="1" si="19"/>
        <v/>
      </c>
      <c r="AF20" s="296" t="str">
        <f t="shared" ca="1" si="24"/>
        <v/>
      </c>
      <c r="AG20" s="296" t="str">
        <f t="shared" ca="1" si="24"/>
        <v/>
      </c>
      <c r="AH20" s="296" t="str">
        <f t="shared" ca="1" si="24"/>
        <v/>
      </c>
      <c r="AI20" s="296" t="str">
        <f t="shared" ca="1" si="24"/>
        <v/>
      </c>
    </row>
    <row r="21" spans="2:35" s="28" customFormat="1" ht="19.149999999999999" customHeight="1">
      <c r="B21" s="112">
        <f t="shared" si="25"/>
        <v>6</v>
      </c>
      <c r="C21" s="55">
        <f t="shared" ca="1" si="0"/>
        <v>0</v>
      </c>
      <c r="D21" s="451" t="str">
        <f t="shared" ca="1" si="1"/>
        <v/>
      </c>
      <c r="E21" s="264" t="str">
        <f t="shared" ca="1" si="2"/>
        <v/>
      </c>
      <c r="F21" s="264" t="str">
        <f t="shared" ca="1" si="2"/>
        <v/>
      </c>
      <c r="G21" s="264" t="str">
        <f t="shared" ca="1" si="3"/>
        <v/>
      </c>
      <c r="H21" s="56" t="str">
        <f t="shared" ca="1" si="4"/>
        <v/>
      </c>
      <c r="I21" s="56" t="str">
        <f t="shared" ca="1" si="5"/>
        <v/>
      </c>
      <c r="J21" s="57" t="str">
        <f t="shared" ca="1" si="6"/>
        <v/>
      </c>
      <c r="K21" s="58" t="str">
        <f t="shared" ca="1" si="7"/>
        <v/>
      </c>
      <c r="L21" s="57" t="str">
        <f t="shared" ca="1" si="20"/>
        <v/>
      </c>
      <c r="M21" s="56" t="str">
        <f t="shared" ca="1" si="8"/>
        <v/>
      </c>
      <c r="N21" s="113" t="str">
        <f t="shared" ca="1" si="9"/>
        <v/>
      </c>
      <c r="Q21" s="295" t="str">
        <f t="shared" si="21"/>
        <v>'TF (6)'!D:H</v>
      </c>
      <c r="R21" s="478">
        <f t="shared" ca="1" si="10"/>
        <v>0</v>
      </c>
      <c r="S21" s="478">
        <f t="shared" ca="1" si="11"/>
        <v>0</v>
      </c>
      <c r="T21" s="478">
        <f t="shared" ca="1" si="22"/>
        <v>485</v>
      </c>
      <c r="U21" s="296">
        <f t="shared" ca="1" si="12"/>
        <v>0</v>
      </c>
      <c r="V21" s="296">
        <f t="shared" ca="1" si="13"/>
        <v>0</v>
      </c>
      <c r="W21" s="296">
        <f t="shared" ca="1" si="14"/>
        <v>0</v>
      </c>
      <c r="X21" s="296">
        <f t="shared" ca="1" si="15"/>
        <v>0</v>
      </c>
      <c r="Y21" s="296">
        <f t="shared" ca="1" si="16"/>
        <v>0</v>
      </c>
      <c r="Z21" s="296">
        <f t="shared" ca="1" si="17"/>
        <v>0</v>
      </c>
      <c r="AA21" s="296">
        <f t="shared" ca="1" si="18"/>
        <v>0</v>
      </c>
      <c r="AB21" s="296" t="str">
        <f t="shared" ca="1" si="23"/>
        <v/>
      </c>
      <c r="AC21" s="296" t="str">
        <f t="shared" ca="1" si="19"/>
        <v/>
      </c>
      <c r="AD21" s="296" t="str">
        <f t="shared" ca="1" si="19"/>
        <v/>
      </c>
      <c r="AE21" s="296" t="str">
        <f t="shared" ca="1" si="19"/>
        <v/>
      </c>
      <c r="AF21" s="296" t="str">
        <f t="shared" ca="1" si="24"/>
        <v/>
      </c>
      <c r="AG21" s="296" t="str">
        <f t="shared" ca="1" si="24"/>
        <v/>
      </c>
      <c r="AH21" s="296" t="str">
        <f t="shared" ca="1" si="24"/>
        <v/>
      </c>
      <c r="AI21" s="296" t="str">
        <f t="shared" ca="1" si="24"/>
        <v/>
      </c>
    </row>
    <row r="22" spans="2:35" s="28" customFormat="1" ht="19.149999999999999" customHeight="1">
      <c r="B22" s="112">
        <f t="shared" si="25"/>
        <v>7</v>
      </c>
      <c r="C22" s="55">
        <f t="shared" ca="1" si="0"/>
        <v>0</v>
      </c>
      <c r="D22" s="451" t="str">
        <f t="shared" ca="1" si="1"/>
        <v/>
      </c>
      <c r="E22" s="264" t="str">
        <f t="shared" ca="1" si="2"/>
        <v/>
      </c>
      <c r="F22" s="264" t="str">
        <f t="shared" ca="1" si="2"/>
        <v/>
      </c>
      <c r="G22" s="264" t="str">
        <f t="shared" ca="1" si="3"/>
        <v/>
      </c>
      <c r="H22" s="56" t="str">
        <f t="shared" ca="1" si="4"/>
        <v/>
      </c>
      <c r="I22" s="56" t="str">
        <f t="shared" ca="1" si="5"/>
        <v/>
      </c>
      <c r="J22" s="57" t="str">
        <f t="shared" ca="1" si="6"/>
        <v/>
      </c>
      <c r="K22" s="58" t="str">
        <f t="shared" ca="1" si="7"/>
        <v/>
      </c>
      <c r="L22" s="57" t="str">
        <f t="shared" ca="1" si="20"/>
        <v/>
      </c>
      <c r="M22" s="56" t="str">
        <f t="shared" ca="1" si="8"/>
        <v/>
      </c>
      <c r="N22" s="113" t="str">
        <f t="shared" ca="1" si="9"/>
        <v/>
      </c>
      <c r="Q22" s="295" t="str">
        <f t="shared" si="21"/>
        <v>'TF (7)'!D:H</v>
      </c>
      <c r="R22" s="478">
        <f t="shared" ca="1" si="10"/>
        <v>0</v>
      </c>
      <c r="S22" s="478">
        <f t="shared" ca="1" si="11"/>
        <v>0</v>
      </c>
      <c r="T22" s="478">
        <f t="shared" ca="1" si="22"/>
        <v>485</v>
      </c>
      <c r="U22" s="296">
        <f t="shared" ca="1" si="12"/>
        <v>0</v>
      </c>
      <c r="V22" s="296">
        <f t="shared" ca="1" si="13"/>
        <v>0</v>
      </c>
      <c r="W22" s="296">
        <f t="shared" ca="1" si="14"/>
        <v>0</v>
      </c>
      <c r="X22" s="296">
        <f t="shared" ca="1" si="15"/>
        <v>0</v>
      </c>
      <c r="Y22" s="296">
        <f t="shared" ca="1" si="16"/>
        <v>0</v>
      </c>
      <c r="Z22" s="296">
        <f t="shared" ca="1" si="17"/>
        <v>0</v>
      </c>
      <c r="AA22" s="296">
        <f t="shared" ca="1" si="18"/>
        <v>0</v>
      </c>
      <c r="AB22" s="296" t="str">
        <f t="shared" ca="1" si="23"/>
        <v/>
      </c>
      <c r="AC22" s="296" t="str">
        <f t="shared" ca="1" si="19"/>
        <v/>
      </c>
      <c r="AD22" s="296" t="str">
        <f t="shared" ca="1" si="19"/>
        <v/>
      </c>
      <c r="AE22" s="296" t="str">
        <f t="shared" ca="1" si="19"/>
        <v/>
      </c>
      <c r="AF22" s="296" t="str">
        <f t="shared" ca="1" si="24"/>
        <v/>
      </c>
      <c r="AG22" s="296" t="str">
        <f t="shared" ca="1" si="24"/>
        <v/>
      </c>
      <c r="AH22" s="296" t="str">
        <f t="shared" ca="1" si="24"/>
        <v/>
      </c>
      <c r="AI22" s="296" t="str">
        <f t="shared" ca="1" si="24"/>
        <v/>
      </c>
    </row>
    <row r="23" spans="2:35" s="28" customFormat="1" ht="19.149999999999999" customHeight="1">
      <c r="B23" s="112">
        <f t="shared" si="25"/>
        <v>8</v>
      </c>
      <c r="C23" s="55">
        <f t="shared" ca="1" si="0"/>
        <v>0</v>
      </c>
      <c r="D23" s="451" t="str">
        <f t="shared" ca="1" si="1"/>
        <v/>
      </c>
      <c r="E23" s="264" t="str">
        <f t="shared" ca="1" si="2"/>
        <v/>
      </c>
      <c r="F23" s="264" t="str">
        <f t="shared" ca="1" si="2"/>
        <v/>
      </c>
      <c r="G23" s="264" t="str">
        <f t="shared" ca="1" si="3"/>
        <v/>
      </c>
      <c r="H23" s="56" t="str">
        <f t="shared" ca="1" si="4"/>
        <v/>
      </c>
      <c r="I23" s="56" t="str">
        <f t="shared" ca="1" si="5"/>
        <v/>
      </c>
      <c r="J23" s="57" t="str">
        <f t="shared" ca="1" si="6"/>
        <v/>
      </c>
      <c r="K23" s="58" t="str">
        <f t="shared" ca="1" si="7"/>
        <v/>
      </c>
      <c r="L23" s="57" t="str">
        <f t="shared" ca="1" si="20"/>
        <v/>
      </c>
      <c r="M23" s="56" t="str">
        <f t="shared" ca="1" si="8"/>
        <v/>
      </c>
      <c r="N23" s="113" t="str">
        <f t="shared" ca="1" si="9"/>
        <v/>
      </c>
      <c r="Q23" s="295" t="str">
        <f t="shared" si="21"/>
        <v>'TF (8)'!D:H</v>
      </c>
      <c r="R23" s="478">
        <f t="shared" ca="1" si="10"/>
        <v>0</v>
      </c>
      <c r="S23" s="478">
        <f t="shared" ca="1" si="11"/>
        <v>0</v>
      </c>
      <c r="T23" s="478">
        <f t="shared" ca="1" si="22"/>
        <v>485</v>
      </c>
      <c r="U23" s="296">
        <f t="shared" ca="1" si="12"/>
        <v>0</v>
      </c>
      <c r="V23" s="296">
        <f t="shared" ca="1" si="13"/>
        <v>0</v>
      </c>
      <c r="W23" s="296">
        <f t="shared" ca="1" si="14"/>
        <v>0</v>
      </c>
      <c r="X23" s="296">
        <f t="shared" ca="1" si="15"/>
        <v>0</v>
      </c>
      <c r="Y23" s="296">
        <f t="shared" ca="1" si="16"/>
        <v>0</v>
      </c>
      <c r="Z23" s="296">
        <f t="shared" ca="1" si="17"/>
        <v>0</v>
      </c>
      <c r="AA23" s="296">
        <f t="shared" ca="1" si="18"/>
        <v>0</v>
      </c>
      <c r="AB23" s="296" t="str">
        <f t="shared" ca="1" si="23"/>
        <v/>
      </c>
      <c r="AC23" s="296" t="str">
        <f t="shared" ca="1" si="19"/>
        <v/>
      </c>
      <c r="AD23" s="296" t="str">
        <f t="shared" ca="1" si="19"/>
        <v/>
      </c>
      <c r="AE23" s="296" t="str">
        <f t="shared" ca="1" si="19"/>
        <v/>
      </c>
      <c r="AF23" s="296" t="str">
        <f t="shared" ca="1" si="24"/>
        <v/>
      </c>
      <c r="AG23" s="296" t="str">
        <f t="shared" ca="1" si="24"/>
        <v/>
      </c>
      <c r="AH23" s="296" t="str">
        <f t="shared" ca="1" si="24"/>
        <v/>
      </c>
      <c r="AI23" s="296" t="str">
        <f t="shared" ca="1" si="24"/>
        <v/>
      </c>
    </row>
    <row r="24" spans="2:35" s="28" customFormat="1" ht="19.149999999999999" customHeight="1">
      <c r="B24" s="112">
        <f t="shared" si="25"/>
        <v>9</v>
      </c>
      <c r="C24" s="55">
        <f t="shared" ca="1" si="0"/>
        <v>0</v>
      </c>
      <c r="D24" s="451" t="str">
        <f t="shared" ca="1" si="1"/>
        <v/>
      </c>
      <c r="E24" s="264" t="str">
        <f t="shared" ca="1" si="2"/>
        <v/>
      </c>
      <c r="F24" s="264" t="str">
        <f t="shared" ca="1" si="2"/>
        <v/>
      </c>
      <c r="G24" s="264" t="str">
        <f t="shared" ca="1" si="3"/>
        <v/>
      </c>
      <c r="H24" s="56" t="str">
        <f t="shared" ca="1" si="4"/>
        <v/>
      </c>
      <c r="I24" s="56" t="str">
        <f t="shared" ca="1" si="5"/>
        <v/>
      </c>
      <c r="J24" s="57" t="str">
        <f t="shared" ca="1" si="6"/>
        <v/>
      </c>
      <c r="K24" s="58" t="str">
        <f t="shared" ca="1" si="7"/>
        <v/>
      </c>
      <c r="L24" s="57" t="str">
        <f t="shared" ca="1" si="20"/>
        <v/>
      </c>
      <c r="M24" s="56" t="str">
        <f t="shared" ca="1" si="8"/>
        <v/>
      </c>
      <c r="N24" s="113" t="str">
        <f t="shared" ca="1" si="9"/>
        <v/>
      </c>
      <c r="Q24" s="295" t="str">
        <f t="shared" si="21"/>
        <v>'TF (9)'!D:H</v>
      </c>
      <c r="R24" s="478">
        <f t="shared" ca="1" si="10"/>
        <v>0</v>
      </c>
      <c r="S24" s="478">
        <f t="shared" ca="1" si="11"/>
        <v>0</v>
      </c>
      <c r="T24" s="478">
        <f t="shared" ca="1" si="22"/>
        <v>485</v>
      </c>
      <c r="U24" s="296">
        <f t="shared" ca="1" si="12"/>
        <v>0</v>
      </c>
      <c r="V24" s="296">
        <f t="shared" ca="1" si="13"/>
        <v>0</v>
      </c>
      <c r="W24" s="296">
        <f t="shared" ca="1" si="14"/>
        <v>0</v>
      </c>
      <c r="X24" s="296">
        <f t="shared" ca="1" si="15"/>
        <v>0</v>
      </c>
      <c r="Y24" s="296">
        <f t="shared" ca="1" si="16"/>
        <v>0</v>
      </c>
      <c r="Z24" s="296">
        <f t="shared" ca="1" si="17"/>
        <v>0</v>
      </c>
      <c r="AA24" s="296">
        <f t="shared" ca="1" si="18"/>
        <v>0</v>
      </c>
      <c r="AB24" s="296" t="str">
        <f t="shared" ca="1" si="23"/>
        <v/>
      </c>
      <c r="AC24" s="296" t="str">
        <f t="shared" ca="1" si="19"/>
        <v/>
      </c>
      <c r="AD24" s="296" t="str">
        <f t="shared" ca="1" si="19"/>
        <v/>
      </c>
      <c r="AE24" s="296" t="str">
        <f t="shared" ca="1" si="19"/>
        <v/>
      </c>
      <c r="AF24" s="296" t="str">
        <f t="shared" ca="1" si="24"/>
        <v/>
      </c>
      <c r="AG24" s="296" t="str">
        <f t="shared" ca="1" si="24"/>
        <v/>
      </c>
      <c r="AH24" s="296" t="str">
        <f t="shared" ca="1" si="24"/>
        <v/>
      </c>
      <c r="AI24" s="296" t="str">
        <f t="shared" ca="1" si="24"/>
        <v/>
      </c>
    </row>
    <row r="25" spans="2:35" s="28" customFormat="1" ht="19.149999999999999" customHeight="1">
      <c r="B25" s="112">
        <f t="shared" si="25"/>
        <v>10</v>
      </c>
      <c r="C25" s="55">
        <f t="shared" ca="1" si="0"/>
        <v>0</v>
      </c>
      <c r="D25" s="451" t="str">
        <f t="shared" ca="1" si="1"/>
        <v/>
      </c>
      <c r="E25" s="264" t="str">
        <f t="shared" ca="1" si="2"/>
        <v/>
      </c>
      <c r="F25" s="264" t="str">
        <f t="shared" ca="1" si="2"/>
        <v/>
      </c>
      <c r="G25" s="264" t="str">
        <f t="shared" ca="1" si="3"/>
        <v/>
      </c>
      <c r="H25" s="56" t="str">
        <f t="shared" ca="1" si="4"/>
        <v/>
      </c>
      <c r="I25" s="56" t="str">
        <f t="shared" ca="1" si="5"/>
        <v/>
      </c>
      <c r="J25" s="57" t="str">
        <f t="shared" ca="1" si="6"/>
        <v/>
      </c>
      <c r="K25" s="58" t="str">
        <f t="shared" ca="1" si="7"/>
        <v/>
      </c>
      <c r="L25" s="57" t="str">
        <f t="shared" ca="1" si="20"/>
        <v/>
      </c>
      <c r="M25" s="56" t="str">
        <f t="shared" ca="1" si="8"/>
        <v/>
      </c>
      <c r="N25" s="113" t="str">
        <f t="shared" ca="1" si="9"/>
        <v/>
      </c>
      <c r="Q25" s="295" t="str">
        <f t="shared" si="21"/>
        <v>'TF (10)'!D:H</v>
      </c>
      <c r="R25" s="478">
        <f t="shared" ca="1" si="10"/>
        <v>0</v>
      </c>
      <c r="S25" s="478">
        <f t="shared" ca="1" si="11"/>
        <v>0</v>
      </c>
      <c r="T25" s="478">
        <f t="shared" ca="1" si="22"/>
        <v>485</v>
      </c>
      <c r="U25" s="296">
        <f t="shared" ca="1" si="12"/>
        <v>0</v>
      </c>
      <c r="V25" s="296">
        <f t="shared" ca="1" si="13"/>
        <v>0</v>
      </c>
      <c r="W25" s="296">
        <f t="shared" ca="1" si="14"/>
        <v>0</v>
      </c>
      <c r="X25" s="296">
        <f t="shared" ca="1" si="15"/>
        <v>0</v>
      </c>
      <c r="Y25" s="296">
        <f t="shared" ca="1" si="16"/>
        <v>0</v>
      </c>
      <c r="Z25" s="296">
        <f t="shared" ca="1" si="17"/>
        <v>0</v>
      </c>
      <c r="AA25" s="296">
        <f t="shared" ca="1" si="18"/>
        <v>0</v>
      </c>
      <c r="AB25" s="296" t="str">
        <f t="shared" ca="1" si="23"/>
        <v/>
      </c>
      <c r="AC25" s="296" t="str">
        <f t="shared" ca="1" si="19"/>
        <v/>
      </c>
      <c r="AD25" s="296" t="str">
        <f t="shared" ca="1" si="19"/>
        <v/>
      </c>
      <c r="AE25" s="296" t="str">
        <f t="shared" ca="1" si="19"/>
        <v/>
      </c>
      <c r="AF25" s="296" t="str">
        <f t="shared" ca="1" si="24"/>
        <v/>
      </c>
      <c r="AG25" s="296" t="str">
        <f t="shared" ca="1" si="24"/>
        <v/>
      </c>
      <c r="AH25" s="296" t="str">
        <f t="shared" ca="1" si="24"/>
        <v/>
      </c>
      <c r="AI25" s="296" t="str">
        <f t="shared" ca="1" si="24"/>
        <v/>
      </c>
    </row>
    <row r="26" spans="2:35" s="28" customFormat="1" ht="19.149999999999999" customHeight="1">
      <c r="B26" s="112">
        <f t="shared" si="25"/>
        <v>11</v>
      </c>
      <c r="C26" s="55">
        <f t="shared" ca="1" si="0"/>
        <v>0</v>
      </c>
      <c r="D26" s="451" t="str">
        <f t="shared" ca="1" si="1"/>
        <v/>
      </c>
      <c r="E26" s="264" t="str">
        <f t="shared" ca="1" si="2"/>
        <v/>
      </c>
      <c r="F26" s="264" t="str">
        <f t="shared" ca="1" si="2"/>
        <v/>
      </c>
      <c r="G26" s="264" t="str">
        <f t="shared" ca="1" si="3"/>
        <v/>
      </c>
      <c r="H26" s="56" t="str">
        <f t="shared" ca="1" si="4"/>
        <v/>
      </c>
      <c r="I26" s="56" t="str">
        <f t="shared" ca="1" si="5"/>
        <v/>
      </c>
      <c r="J26" s="57" t="str">
        <f t="shared" ca="1" si="6"/>
        <v/>
      </c>
      <c r="K26" s="58" t="str">
        <f t="shared" ca="1" si="7"/>
        <v/>
      </c>
      <c r="L26" s="57" t="str">
        <f t="shared" ca="1" si="20"/>
        <v/>
      </c>
      <c r="M26" s="56" t="str">
        <f t="shared" ca="1" si="8"/>
        <v/>
      </c>
      <c r="N26" s="113" t="str">
        <f t="shared" ca="1" si="9"/>
        <v/>
      </c>
      <c r="Q26" s="295" t="str">
        <f t="shared" si="21"/>
        <v>'TF (11)'!D:H</v>
      </c>
      <c r="R26" s="478">
        <f t="shared" ca="1" si="10"/>
        <v>0</v>
      </c>
      <c r="S26" s="478">
        <f t="shared" ca="1" si="11"/>
        <v>0</v>
      </c>
      <c r="T26" s="478">
        <f t="shared" ca="1" si="22"/>
        <v>485</v>
      </c>
      <c r="U26" s="296">
        <f t="shared" ca="1" si="12"/>
        <v>0</v>
      </c>
      <c r="V26" s="296">
        <f t="shared" ca="1" si="13"/>
        <v>0</v>
      </c>
      <c r="W26" s="296">
        <f t="shared" ca="1" si="14"/>
        <v>0</v>
      </c>
      <c r="X26" s="296">
        <f t="shared" ca="1" si="15"/>
        <v>0</v>
      </c>
      <c r="Y26" s="296">
        <f t="shared" ca="1" si="16"/>
        <v>0</v>
      </c>
      <c r="Z26" s="296">
        <f t="shared" ca="1" si="17"/>
        <v>0</v>
      </c>
      <c r="AA26" s="296">
        <f t="shared" ca="1" si="18"/>
        <v>0</v>
      </c>
      <c r="AB26" s="296" t="str">
        <f t="shared" ca="1" si="23"/>
        <v/>
      </c>
      <c r="AC26" s="296" t="str">
        <f t="shared" ca="1" si="19"/>
        <v/>
      </c>
      <c r="AD26" s="296" t="str">
        <f t="shared" ca="1" si="19"/>
        <v/>
      </c>
      <c r="AE26" s="296" t="str">
        <f t="shared" ca="1" si="19"/>
        <v/>
      </c>
      <c r="AF26" s="296" t="str">
        <f t="shared" ca="1" si="24"/>
        <v/>
      </c>
      <c r="AG26" s="296" t="str">
        <f t="shared" ca="1" si="24"/>
        <v/>
      </c>
      <c r="AH26" s="296" t="str">
        <f t="shared" ca="1" si="24"/>
        <v/>
      </c>
      <c r="AI26" s="296" t="str">
        <f t="shared" ca="1" si="24"/>
        <v/>
      </c>
    </row>
    <row r="27" spans="2:35" s="28" customFormat="1" ht="19.149999999999999" customHeight="1">
      <c r="B27" s="114">
        <f t="shared" si="25"/>
        <v>12</v>
      </c>
      <c r="C27" s="59">
        <f t="shared" ca="1" si="0"/>
        <v>0</v>
      </c>
      <c r="D27" s="452" t="str">
        <f t="shared" ca="1" si="1"/>
        <v/>
      </c>
      <c r="E27" s="265" t="str">
        <f t="shared" ca="1" si="2"/>
        <v/>
      </c>
      <c r="F27" s="265" t="str">
        <f t="shared" ca="1" si="2"/>
        <v/>
      </c>
      <c r="G27" s="265" t="str">
        <f t="shared" ca="1" si="3"/>
        <v/>
      </c>
      <c r="H27" s="60" t="str">
        <f t="shared" ca="1" si="4"/>
        <v/>
      </c>
      <c r="I27" s="60" t="str">
        <f t="shared" ca="1" si="5"/>
        <v/>
      </c>
      <c r="J27" s="61" t="str">
        <f t="shared" ca="1" si="6"/>
        <v/>
      </c>
      <c r="K27" s="62" t="str">
        <f t="shared" ca="1" si="7"/>
        <v/>
      </c>
      <c r="L27" s="61" t="str">
        <f t="shared" ca="1" si="20"/>
        <v/>
      </c>
      <c r="M27" s="60" t="str">
        <f t="shared" ca="1" si="8"/>
        <v/>
      </c>
      <c r="N27" s="115" t="str">
        <f t="shared" ca="1" si="9"/>
        <v/>
      </c>
      <c r="Q27" s="297" t="str">
        <f t="shared" si="21"/>
        <v>'TF (12)'!D:H</v>
      </c>
      <c r="R27" s="479">
        <f t="shared" ca="1" si="10"/>
        <v>0</v>
      </c>
      <c r="S27" s="479">
        <f t="shared" ca="1" si="11"/>
        <v>0</v>
      </c>
      <c r="T27" s="479">
        <f t="shared" ca="1" si="22"/>
        <v>485</v>
      </c>
      <c r="U27" s="298">
        <f t="shared" ca="1" si="12"/>
        <v>0</v>
      </c>
      <c r="V27" s="298">
        <f t="shared" ca="1" si="13"/>
        <v>0</v>
      </c>
      <c r="W27" s="298">
        <f t="shared" ca="1" si="14"/>
        <v>0</v>
      </c>
      <c r="X27" s="298">
        <f t="shared" ca="1" si="15"/>
        <v>0</v>
      </c>
      <c r="Y27" s="298">
        <f t="shared" ca="1" si="16"/>
        <v>0</v>
      </c>
      <c r="Z27" s="298">
        <f t="shared" ca="1" si="17"/>
        <v>0</v>
      </c>
      <c r="AA27" s="298">
        <f t="shared" ca="1" si="18"/>
        <v>0</v>
      </c>
      <c r="AB27" s="298" t="str">
        <f t="shared" ca="1" si="23"/>
        <v/>
      </c>
      <c r="AC27" s="298" t="str">
        <f t="shared" ca="1" si="19"/>
        <v/>
      </c>
      <c r="AD27" s="298" t="str">
        <f t="shared" ca="1" si="19"/>
        <v/>
      </c>
      <c r="AE27" s="298" t="str">
        <f t="shared" ca="1" si="19"/>
        <v/>
      </c>
      <c r="AF27" s="298" t="str">
        <f t="shared" ca="1" si="24"/>
        <v/>
      </c>
      <c r="AG27" s="298" t="str">
        <f t="shared" ca="1" si="24"/>
        <v/>
      </c>
      <c r="AH27" s="298" t="str">
        <f t="shared" ca="1" si="24"/>
        <v/>
      </c>
      <c r="AI27" s="298" t="str">
        <f t="shared" ca="1" si="24"/>
        <v/>
      </c>
    </row>
    <row r="28" spans="2:35" s="28" customFormat="1" ht="19.149999999999999" customHeight="1" thickBot="1">
      <c r="B28" s="116" t="s">
        <v>21</v>
      </c>
      <c r="C28" s="117"/>
      <c r="D28" s="453">
        <f ca="1">SUM(D16:D27)</f>
        <v>0</v>
      </c>
      <c r="E28" s="118"/>
      <c r="F28" s="118"/>
      <c r="G28" s="119"/>
      <c r="H28" s="63">
        <f ca="1">SUM(H16:H27)</f>
        <v>0</v>
      </c>
      <c r="I28" s="63">
        <f ca="1">SUM(I16:I27)</f>
        <v>0</v>
      </c>
      <c r="J28" s="63">
        <f ca="1">SUM(J16:J27)</f>
        <v>0</v>
      </c>
      <c r="K28" s="63">
        <f ca="1">SUM(K16:K27)</f>
        <v>0</v>
      </c>
      <c r="L28" s="63"/>
      <c r="M28" s="120">
        <f ca="1">SUM(M16:M27)</f>
        <v>0</v>
      </c>
      <c r="N28" s="64">
        <f ca="1">SUM(N16:N27)</f>
        <v>0</v>
      </c>
      <c r="Q28" s="299"/>
      <c r="R28" s="480">
        <f ca="1">SUM(R16:R27)</f>
        <v>0</v>
      </c>
      <c r="S28" s="480">
        <f ca="1">SUM(S16:S27)</f>
        <v>0</v>
      </c>
      <c r="T28" s="481"/>
      <c r="U28" s="476"/>
      <c r="V28" s="476">
        <f ca="1">SUM(V16:V27)</f>
        <v>0</v>
      </c>
      <c r="W28" s="476">
        <f ca="1">W27</f>
        <v>0</v>
      </c>
      <c r="X28" s="476">
        <f ca="1">SUM(X16:X27)</f>
        <v>0</v>
      </c>
      <c r="Y28" s="476">
        <f ca="1">SUM(Y16:Y27)</f>
        <v>0</v>
      </c>
      <c r="Z28" s="476"/>
      <c r="AA28" s="476"/>
      <c r="AB28" s="476">
        <f ca="1">SUM(AB16:AB27)</f>
        <v>0</v>
      </c>
      <c r="AC28" s="476">
        <f ca="1">SUM(AC16:AC27)</f>
        <v>0</v>
      </c>
      <c r="AD28" s="476">
        <f t="shared" ref="AD28:AE28" ca="1" si="26">SUM(AD16:AD27)</f>
        <v>0</v>
      </c>
      <c r="AE28" s="476">
        <f t="shared" ca="1" si="26"/>
        <v>0</v>
      </c>
      <c r="AF28" s="476">
        <f t="shared" ref="AF28" ca="1" si="27">SUM(AF16:AF27)</f>
        <v>0</v>
      </c>
      <c r="AG28" s="476">
        <f ca="1">SUM(AG16:AG27)</f>
        <v>0</v>
      </c>
      <c r="AH28" s="476">
        <f t="shared" ref="AH28" ca="1" si="28">SUM(AH16:AH27)</f>
        <v>0</v>
      </c>
      <c r="AI28" s="476">
        <f t="shared" ref="AI28" ca="1" si="29">SUM(AI16:AI27)</f>
        <v>0</v>
      </c>
    </row>
    <row r="29" spans="2:35" ht="12.75" customHeight="1" thickBot="1"/>
    <row r="30" spans="2:35" s="21" customFormat="1" ht="21.75" thickBot="1">
      <c r="B30" s="18" t="s">
        <v>311</v>
      </c>
      <c r="C30" s="19"/>
      <c r="D30" s="19"/>
      <c r="E30" s="19"/>
      <c r="F30" s="19"/>
      <c r="G30" s="19"/>
      <c r="H30" s="19"/>
      <c r="I30" s="19"/>
      <c r="J30" s="19"/>
      <c r="K30" s="19"/>
      <c r="L30" s="19"/>
      <c r="M30" s="19"/>
      <c r="N30" s="20"/>
      <c r="Q30" s="275"/>
      <c r="R30" s="323"/>
      <c r="S30" s="275"/>
      <c r="T30" s="275"/>
      <c r="U30" s="275"/>
      <c r="V30" s="275"/>
      <c r="W30" s="275"/>
      <c r="X30" s="275"/>
      <c r="Y30" s="275"/>
    </row>
    <row r="31" spans="2:35" s="28" customFormat="1" ht="19.149999999999999" customHeight="1">
      <c r="B31" s="177" t="s">
        <v>126</v>
      </c>
      <c r="C31" s="131"/>
      <c r="D31" s="635" t="s">
        <v>197</v>
      </c>
      <c r="E31" s="595"/>
      <c r="F31" s="595"/>
      <c r="G31" s="595"/>
      <c r="H31" s="595"/>
      <c r="I31" s="595"/>
      <c r="J31" s="648"/>
      <c r="K31" s="635" t="s">
        <v>198</v>
      </c>
      <c r="L31" s="595"/>
      <c r="M31" s="595"/>
      <c r="N31" s="596"/>
      <c r="Q31" s="276"/>
      <c r="R31" s="276"/>
      <c r="S31" s="276"/>
      <c r="T31" s="276"/>
      <c r="U31" s="300"/>
      <c r="V31" s="300"/>
      <c r="W31" s="300"/>
      <c r="X31" s="300"/>
      <c r="Y31" s="300"/>
    </row>
    <row r="32" spans="2:35" s="28" customFormat="1" ht="19.149999999999999" customHeight="1">
      <c r="B32" s="220" t="str">
        <f>IF(_Ist_MWSt,"Kosten inkl. MWSt.","Kosten exkl. MWSt.")</f>
        <v>Kosten exkl. MWSt.</v>
      </c>
      <c r="C32" s="266"/>
      <c r="D32" s="585" t="s">
        <v>106</v>
      </c>
      <c r="E32" s="577"/>
      <c r="F32" s="577"/>
      <c r="G32" s="586"/>
      <c r="H32" s="576" t="s">
        <v>83</v>
      </c>
      <c r="I32" s="577"/>
      <c r="J32" s="578"/>
      <c r="K32" s="585" t="s">
        <v>106</v>
      </c>
      <c r="L32" s="586"/>
      <c r="M32" s="576" t="s">
        <v>83</v>
      </c>
      <c r="N32" s="608"/>
      <c r="Q32" s="301"/>
      <c r="R32" s="276"/>
      <c r="S32" s="276"/>
      <c r="T32" s="276"/>
      <c r="U32" s="276"/>
      <c r="V32" s="276"/>
      <c r="W32" s="276"/>
      <c r="X32" s="276"/>
      <c r="Y32" s="276"/>
    </row>
    <row r="33" spans="2:25" s="28" customFormat="1" ht="19.149999999999999" customHeight="1">
      <c r="B33" s="122" t="s">
        <v>46</v>
      </c>
      <c r="C33" s="267"/>
      <c r="D33" s="557"/>
      <c r="E33" s="558"/>
      <c r="F33" s="558"/>
      <c r="G33" s="559"/>
      <c r="H33" s="636">
        <f ca="1">IF(ISNUMBER($D$35),0,IF(ISNUMBER(D33),D33,_Anlageleistung_Max*_Referenzkosten_Max_kWp))</f>
        <v>0</v>
      </c>
      <c r="I33" s="637"/>
      <c r="J33" s="199" t="s">
        <v>34</v>
      </c>
      <c r="K33" s="579"/>
      <c r="L33" s="580"/>
      <c r="M33" s="222">
        <f ca="1">IF(ISNUMBER(K35),0,IF(ISNUMBER(K33),K33,_Anlageleistung_ges.Min*_Referenzkosten_Ges.Min_kWp))</f>
        <v>0</v>
      </c>
      <c r="N33" s="39" t="s">
        <v>34</v>
      </c>
      <c r="Q33" s="276"/>
      <c r="R33" s="276"/>
      <c r="S33" s="276"/>
      <c r="T33" s="276"/>
      <c r="U33" s="302"/>
      <c r="V33" s="302"/>
      <c r="W33" s="302"/>
      <c r="X33" s="302"/>
      <c r="Y33" s="302"/>
    </row>
    <row r="34" spans="2:25" s="28" customFormat="1" ht="19.149999999999999" customHeight="1">
      <c r="B34" s="33" t="s">
        <v>385</v>
      </c>
      <c r="C34" s="35"/>
      <c r="D34" s="563"/>
      <c r="E34" s="564"/>
      <c r="F34" s="564"/>
      <c r="G34" s="565"/>
      <c r="H34" s="572">
        <f ca="1">IF(ISNUMBER(D35),0,IF(ISNUMBER(D34),D34,_Anz_Nordmodule_Max*_Referenzkosten_blendfrei))</f>
        <v>0</v>
      </c>
      <c r="I34" s="573"/>
      <c r="J34" s="199" t="s">
        <v>34</v>
      </c>
      <c r="K34" s="581"/>
      <c r="L34" s="582"/>
      <c r="M34" s="223">
        <f ca="1">IF(ISNUMBER(K35),0,IF(ISNUMBER(K34),K34,_Anz_Nordmodule_ges.Min*_Referenzkosten_blendfrei))</f>
        <v>0</v>
      </c>
      <c r="N34" s="74" t="s">
        <v>34</v>
      </c>
      <c r="Q34" s="276"/>
      <c r="R34" s="276"/>
      <c r="S34" s="276"/>
      <c r="T34" s="276"/>
      <c r="U34" s="302"/>
      <c r="V34" s="302"/>
      <c r="W34" s="302"/>
      <c r="X34" s="302"/>
      <c r="Y34" s="302"/>
    </row>
    <row r="35" spans="2:25" s="28" customFormat="1" ht="19.149999999999999" customHeight="1">
      <c r="B35" s="229" t="s">
        <v>100</v>
      </c>
      <c r="C35" s="230"/>
      <c r="D35" s="566"/>
      <c r="E35" s="567"/>
      <c r="F35" s="567"/>
      <c r="G35" s="568"/>
      <c r="H35" s="574">
        <f ca="1">IF(ISNUMBER(D35),D35,SUM(H33:I34))</f>
        <v>0</v>
      </c>
      <c r="I35" s="575"/>
      <c r="J35" s="232" t="s">
        <v>34</v>
      </c>
      <c r="K35" s="583"/>
      <c r="L35" s="584"/>
      <c r="M35" s="474">
        <f ca="1">IF(_Anlageleistung_ges.Min&gt;0,IF(ISNUMBER(K35),K35,SUM(M33:M34)),0)</f>
        <v>0</v>
      </c>
      <c r="N35" s="475" t="s">
        <v>34</v>
      </c>
      <c r="Q35" s="276"/>
      <c r="R35" s="276"/>
      <c r="S35" s="276"/>
      <c r="T35" s="276"/>
      <c r="U35" s="302"/>
      <c r="V35" s="302"/>
      <c r="W35" s="302"/>
      <c r="X35" s="302"/>
      <c r="Y35" s="302"/>
    </row>
    <row r="36" spans="2:25" s="28" customFormat="1" ht="19.149999999999999" customHeight="1">
      <c r="B36" s="122" t="s">
        <v>181</v>
      </c>
      <c r="C36" s="267"/>
      <c r="D36" s="557"/>
      <c r="E36" s="558"/>
      <c r="F36" s="558"/>
      <c r="G36" s="559"/>
      <c r="H36" s="587">
        <f ca="1">IF(ISNUMBER(D39),0,IF(ISNUMBER(D36),D36,-_EIV_Max))</f>
        <v>0</v>
      </c>
      <c r="I36" s="588"/>
      <c r="J36" s="199" t="s">
        <v>34</v>
      </c>
      <c r="K36" s="537"/>
      <c r="L36" s="538"/>
      <c r="M36" s="222">
        <f ca="1">IF(ISNUMBER(K39),0,IF(ISNUMBER(K36),K36,-_EIV_Ges.Min))</f>
        <v>0</v>
      </c>
      <c r="N36" s="74" t="s">
        <v>34</v>
      </c>
      <c r="Q36" s="276"/>
      <c r="R36" s="276"/>
      <c r="S36" s="276"/>
      <c r="T36" s="276"/>
      <c r="U36" s="302"/>
      <c r="V36" s="302"/>
      <c r="W36" s="302"/>
      <c r="X36" s="302"/>
      <c r="Y36" s="302"/>
    </row>
    <row r="37" spans="2:25" s="28" customFormat="1" ht="19.149999999999999" customHeight="1">
      <c r="B37" s="126" t="s">
        <v>341</v>
      </c>
      <c r="C37" s="233"/>
      <c r="D37" s="563"/>
      <c r="E37" s="564"/>
      <c r="F37" s="564"/>
      <c r="G37" s="565"/>
      <c r="H37" s="589">
        <f ca="1">IF(ISNUMBER(D39),0,IF(ISNUMBER(D37),D37,-AB28))</f>
        <v>0</v>
      </c>
      <c r="I37" s="590"/>
      <c r="J37" s="172" t="s">
        <v>34</v>
      </c>
      <c r="K37" s="539"/>
      <c r="L37" s="540"/>
      <c r="M37" s="223">
        <f ca="1">IF(ISNUMBER(K39),0,IF(ISNUMBER(K37),K37,-AF28))</f>
        <v>0</v>
      </c>
      <c r="N37" s="30" t="s">
        <v>34</v>
      </c>
      <c r="Q37" s="276"/>
      <c r="R37" s="276"/>
      <c r="S37" s="276"/>
      <c r="T37" s="276"/>
      <c r="U37" s="302"/>
      <c r="V37" s="302"/>
      <c r="W37" s="302"/>
      <c r="X37" s="302"/>
      <c r="Y37" s="302"/>
    </row>
    <row r="38" spans="2:25" s="28" customFormat="1" ht="19.149999999999999" customHeight="1">
      <c r="B38" s="126" t="s">
        <v>361</v>
      </c>
      <c r="C38" s="233"/>
      <c r="D38" s="563"/>
      <c r="E38" s="564"/>
      <c r="F38" s="564"/>
      <c r="G38" s="565"/>
      <c r="H38" s="589">
        <f ca="1">IF(ISNUMBER(D39),0,IF(ISNUMBER(D38),D38,-AC28))</f>
        <v>0</v>
      </c>
      <c r="I38" s="590"/>
      <c r="J38" s="172" t="s">
        <v>34</v>
      </c>
      <c r="K38" s="539"/>
      <c r="L38" s="540"/>
      <c r="M38" s="223">
        <f ca="1">IF(ISNUMBER(K39),0,IF(ISNUMBER(K38),K38,-AG28))</f>
        <v>0</v>
      </c>
      <c r="N38" s="30" t="s">
        <v>34</v>
      </c>
      <c r="Q38" s="276"/>
      <c r="R38" s="276"/>
      <c r="S38" s="276"/>
      <c r="T38" s="276"/>
      <c r="U38" s="302"/>
      <c r="V38" s="302"/>
      <c r="W38" s="302"/>
      <c r="X38" s="302"/>
      <c r="Y38" s="302"/>
    </row>
    <row r="39" spans="2:25" s="28" customFormat="1" ht="19.149999999999999" customHeight="1">
      <c r="B39" s="472" t="s">
        <v>342</v>
      </c>
      <c r="C39" s="473"/>
      <c r="D39" s="566"/>
      <c r="E39" s="567"/>
      <c r="F39" s="567"/>
      <c r="G39" s="568"/>
      <c r="H39" s="591">
        <f ca="1">IF(ISNUMBER(D39),D39,H36+H37+H38)</f>
        <v>0</v>
      </c>
      <c r="I39" s="592"/>
      <c r="J39" s="232" t="s">
        <v>34</v>
      </c>
      <c r="K39" s="535"/>
      <c r="L39" s="536"/>
      <c r="M39" s="474">
        <f ca="1">IF(ISNUMBER(K39),K39,M36+M37+M38)</f>
        <v>0</v>
      </c>
      <c r="N39" s="475" t="s">
        <v>34</v>
      </c>
      <c r="Q39" s="276"/>
      <c r="R39" s="276"/>
      <c r="S39" s="276"/>
      <c r="T39" s="276"/>
      <c r="U39" s="302"/>
      <c r="V39" s="302"/>
      <c r="W39" s="302"/>
      <c r="X39" s="302"/>
      <c r="Y39" s="302"/>
    </row>
    <row r="40" spans="2:25" s="28" customFormat="1" ht="19.149999999999999" customHeight="1">
      <c r="B40" s="49" t="s">
        <v>343</v>
      </c>
      <c r="C40" s="464"/>
      <c r="D40" s="560"/>
      <c r="E40" s="561"/>
      <c r="F40" s="561"/>
      <c r="G40" s="562"/>
      <c r="H40" s="593">
        <f ca="1">IF(ISNUMBER(D43),0,IF(ISNUMBER(D40),D40,_EIV_Max_Rechenwert*_EF_Ansatz/100))</f>
        <v>0</v>
      </c>
      <c r="I40" s="594"/>
      <c r="J40" s="465" t="s">
        <v>34</v>
      </c>
      <c r="K40" s="537"/>
      <c r="L40" s="538"/>
      <c r="M40" s="466">
        <f ca="1">IF(ISNUMBER(K43),0,IF(ISNUMBER(K40),K40,_EIV_Ges.Min_Rechenwert*_EF_Ansatz/100))</f>
        <v>0</v>
      </c>
      <c r="N40" s="86" t="s">
        <v>34</v>
      </c>
      <c r="Q40" s="276"/>
      <c r="R40" s="276"/>
      <c r="S40" s="276"/>
      <c r="T40" s="276"/>
      <c r="U40" s="302"/>
      <c r="V40" s="302"/>
      <c r="W40" s="302"/>
      <c r="X40" s="302"/>
      <c r="Y40" s="302"/>
    </row>
    <row r="41" spans="2:25" s="28" customFormat="1" ht="19.149999999999999" customHeight="1">
      <c r="B41" s="467" t="s">
        <v>336</v>
      </c>
      <c r="C41" s="468"/>
      <c r="D41" s="563"/>
      <c r="E41" s="564"/>
      <c r="F41" s="564"/>
      <c r="G41" s="565"/>
      <c r="H41" s="589">
        <f ca="1">IF(ISNUMBER(D43),0,IF(ISNUMBER(D41),D41,-AD28))</f>
        <v>0</v>
      </c>
      <c r="I41" s="590"/>
      <c r="J41" s="469" t="s">
        <v>34</v>
      </c>
      <c r="K41" s="539"/>
      <c r="L41" s="540"/>
      <c r="M41" s="470">
        <f ca="1">IF(ISNUMBER(K43),0,IF(ISNUMBER(K41),K41,-AH28))</f>
        <v>0</v>
      </c>
      <c r="N41" s="471" t="s">
        <v>34</v>
      </c>
      <c r="Q41" s="276"/>
      <c r="R41" s="276"/>
      <c r="S41" s="276"/>
      <c r="T41" s="276"/>
      <c r="U41" s="302"/>
      <c r="V41" s="302"/>
      <c r="W41" s="302"/>
      <c r="X41" s="302"/>
      <c r="Y41" s="302"/>
    </row>
    <row r="42" spans="2:25" s="28" customFormat="1" ht="19.149999999999999" customHeight="1">
      <c r="B42" s="467" t="s">
        <v>337</v>
      </c>
      <c r="C42" s="468"/>
      <c r="D42" s="563"/>
      <c r="E42" s="564"/>
      <c r="F42" s="564"/>
      <c r="G42" s="565"/>
      <c r="H42" s="589">
        <f ca="1">IF(ISNUMBER(D43),0,IF(ISNUMBER(D42),D42,-AE28))</f>
        <v>0</v>
      </c>
      <c r="I42" s="590"/>
      <c r="J42" s="469" t="s">
        <v>34</v>
      </c>
      <c r="K42" s="539"/>
      <c r="L42" s="540"/>
      <c r="M42" s="470">
        <f ca="1">IF(ISNUMBER(K43),0,IF(ISNUMBER(K42),K42,-AI28))</f>
        <v>0</v>
      </c>
      <c r="N42" s="471" t="s">
        <v>34</v>
      </c>
      <c r="Q42" s="276"/>
      <c r="R42" s="276"/>
      <c r="S42" s="276"/>
      <c r="T42" s="276"/>
      <c r="U42" s="302"/>
      <c r="V42" s="302"/>
      <c r="W42" s="302"/>
      <c r="X42" s="302"/>
      <c r="Y42" s="302"/>
    </row>
    <row r="43" spans="2:25" s="28" customFormat="1" ht="19.149999999999999" customHeight="1">
      <c r="B43" s="472" t="s">
        <v>347</v>
      </c>
      <c r="C43" s="473"/>
      <c r="D43" s="566"/>
      <c r="E43" s="567"/>
      <c r="F43" s="567"/>
      <c r="G43" s="568"/>
      <c r="H43" s="574">
        <f ca="1">IF(ISNUMBER(D43),D43,SUM(H40:I42))</f>
        <v>0</v>
      </c>
      <c r="I43" s="575"/>
      <c r="J43" s="232" t="s">
        <v>34</v>
      </c>
      <c r="K43" s="583"/>
      <c r="L43" s="584"/>
      <c r="M43" s="474">
        <f ca="1">IF(ISNUMBER(K43),K43,SUM(M40:M42))</f>
        <v>0</v>
      </c>
      <c r="N43" s="475" t="s">
        <v>34</v>
      </c>
      <c r="Q43" s="276"/>
      <c r="R43" s="276"/>
      <c r="S43" s="276"/>
      <c r="T43" s="276"/>
      <c r="U43" s="302"/>
      <c r="V43" s="302"/>
      <c r="W43" s="302"/>
      <c r="X43" s="302"/>
      <c r="Y43" s="302"/>
    </row>
    <row r="44" spans="2:25" s="28" customFormat="1" ht="19.149999999999999" customHeight="1" thickBot="1">
      <c r="B44" s="123" t="s">
        <v>30</v>
      </c>
      <c r="C44" s="268"/>
      <c r="D44" s="609"/>
      <c r="E44" s="610"/>
      <c r="F44" s="610"/>
      <c r="G44" s="611"/>
      <c r="H44" s="612">
        <f ca="1">_Gesamtkosten_tech.Vollb+_EIV_Max_Rechenwert+_EF_Max_Rechenwert</f>
        <v>0</v>
      </c>
      <c r="I44" s="613"/>
      <c r="J44" s="221" t="s">
        <v>34</v>
      </c>
      <c r="K44" s="609"/>
      <c r="L44" s="611"/>
      <c r="M44" s="99">
        <f ca="1">_Gesamtkosten_Ges.Min+_EIV_Ges.Min_Rechenwert+_EF_Ges.Min_Rechenwert</f>
        <v>0</v>
      </c>
      <c r="N44" s="224" t="s">
        <v>34</v>
      </c>
      <c r="Q44" s="303"/>
      <c r="R44" s="303"/>
      <c r="S44" s="303"/>
      <c r="T44" s="303"/>
      <c r="U44" s="304"/>
      <c r="V44" s="304"/>
      <c r="W44" s="304"/>
      <c r="X44" s="304"/>
      <c r="Y44" s="304"/>
    </row>
    <row r="45" spans="2:25" ht="12.75" customHeight="1" thickBot="1">
      <c r="E45" s="124"/>
      <c r="F45" s="124"/>
      <c r="N45" s="125"/>
    </row>
    <row r="46" spans="2:25" s="21" customFormat="1" ht="21.75" thickBot="1">
      <c r="B46" s="18" t="s">
        <v>125</v>
      </c>
      <c r="C46" s="19"/>
      <c r="D46" s="19"/>
      <c r="E46" s="19"/>
      <c r="F46" s="19"/>
      <c r="G46" s="19"/>
      <c r="H46" s="19"/>
      <c r="I46" s="19"/>
      <c r="J46" s="19"/>
      <c r="K46" s="19"/>
      <c r="L46" s="19"/>
      <c r="M46" s="19"/>
      <c r="N46" s="20"/>
      <c r="Q46" s="275"/>
      <c r="R46" s="275"/>
      <c r="S46" s="275"/>
      <c r="T46" s="275"/>
      <c r="U46" s="275"/>
      <c r="V46" s="275"/>
      <c r="W46" s="275"/>
      <c r="X46" s="275"/>
      <c r="Y46" s="275"/>
    </row>
    <row r="47" spans="2:25" s="28" customFormat="1" ht="19.149999999999999" customHeight="1">
      <c r="B47" s="126" t="s">
        <v>47</v>
      </c>
      <c r="C47" s="233"/>
      <c r="D47" s="638">
        <f>_ENG_Rechenwert</f>
        <v>25</v>
      </c>
      <c r="E47" s="639"/>
      <c r="F47" s="639"/>
      <c r="G47" s="640"/>
      <c r="H47" s="236" t="s">
        <v>5</v>
      </c>
      <c r="I47" s="269"/>
      <c r="J47" s="128" t="str">
        <f ca="1">"Begründete Änderung im Tab "&amp;Datengrundlage!A1&amp;" möglich"</f>
        <v>Begründete Änderung im Tab Datengrundlage möglich</v>
      </c>
      <c r="K47" s="67"/>
      <c r="L47" s="128"/>
      <c r="M47" s="128"/>
      <c r="N47" s="30"/>
      <c r="Q47" s="276"/>
      <c r="R47" s="276"/>
      <c r="S47" s="276"/>
      <c r="T47" s="276"/>
      <c r="U47" s="276"/>
      <c r="V47" s="276"/>
      <c r="W47" s="276"/>
      <c r="X47" s="276"/>
      <c r="Y47" s="276"/>
    </row>
    <row r="48" spans="2:25" s="28" customFormat="1" ht="19.149999999999999" customHeight="1">
      <c r="B48" s="126" t="s">
        <v>36</v>
      </c>
      <c r="C48" s="233"/>
      <c r="D48" s="641">
        <f>_Kap_Verzinsung</f>
        <v>1.25</v>
      </c>
      <c r="E48" s="642"/>
      <c r="F48" s="642"/>
      <c r="G48" s="643"/>
      <c r="H48" s="233" t="s">
        <v>5</v>
      </c>
      <c r="I48" s="172"/>
      <c r="J48" s="35"/>
      <c r="K48" s="68"/>
      <c r="L48" s="35"/>
      <c r="M48" s="35"/>
      <c r="N48" s="30"/>
      <c r="Q48" s="276"/>
      <c r="R48" s="276"/>
      <c r="S48" s="276"/>
      <c r="T48" s="276"/>
      <c r="U48" s="276"/>
      <c r="V48" s="276"/>
      <c r="W48" s="276"/>
      <c r="X48" s="276"/>
      <c r="Y48" s="276"/>
    </row>
    <row r="49" spans="2:25" s="28" customFormat="1" ht="19.149999999999999" customHeight="1">
      <c r="B49" s="126" t="s">
        <v>31</v>
      </c>
      <c r="C49" s="233"/>
      <c r="D49" s="605">
        <f>_Tarif_Unterhalt_Rechenwert</f>
        <v>3</v>
      </c>
      <c r="E49" s="606"/>
      <c r="F49" s="606"/>
      <c r="G49" s="607"/>
      <c r="H49" s="233" t="s">
        <v>35</v>
      </c>
      <c r="I49" s="172"/>
      <c r="J49" s="35"/>
      <c r="K49" s="69"/>
      <c r="L49" s="35"/>
      <c r="M49" s="35"/>
      <c r="N49" s="30"/>
      <c r="Q49" s="276"/>
      <c r="R49" s="276"/>
      <c r="S49" s="276"/>
      <c r="T49" s="276"/>
      <c r="U49" s="276"/>
      <c r="V49" s="276"/>
      <c r="W49" s="276"/>
      <c r="X49" s="276"/>
      <c r="Y49" s="276"/>
    </row>
    <row r="50" spans="2:25" s="28" customFormat="1" ht="19.149999999999999" customHeight="1">
      <c r="B50" s="126" t="s">
        <v>32</v>
      </c>
      <c r="C50" s="233"/>
      <c r="D50" s="605">
        <f>_Tarif_Bezug</f>
        <v>28.96</v>
      </c>
      <c r="E50" s="606"/>
      <c r="F50" s="606"/>
      <c r="G50" s="607"/>
      <c r="H50" s="233" t="s">
        <v>35</v>
      </c>
      <c r="I50" s="172"/>
      <c r="J50" s="35" t="str">
        <f>Datengrundlage!H50</f>
        <v>ckw MeinRegioStrom Ø 3 Jahre</v>
      </c>
      <c r="K50" s="69"/>
      <c r="L50" s="35"/>
      <c r="M50" s="35"/>
      <c r="N50" s="30"/>
      <c r="Q50" s="276"/>
      <c r="R50" s="276"/>
      <c r="S50" s="276"/>
      <c r="T50" s="276"/>
      <c r="U50" s="276"/>
      <c r="V50" s="276"/>
      <c r="W50" s="276"/>
      <c r="X50" s="276"/>
      <c r="Y50" s="276"/>
    </row>
    <row r="51" spans="2:25" s="28" customFormat="1" ht="19.149999999999999" customHeight="1" thickBot="1">
      <c r="B51" s="129" t="s">
        <v>33</v>
      </c>
      <c r="C51" s="234"/>
      <c r="D51" s="548">
        <f ca="1">_Tarif_Rücklieferung</f>
        <v>14.4495</v>
      </c>
      <c r="E51" s="549"/>
      <c r="F51" s="549"/>
      <c r="G51" s="550"/>
      <c r="H51" s="234" t="s">
        <v>35</v>
      </c>
      <c r="I51" s="174"/>
      <c r="J51" s="37" t="str">
        <f>Datengrundlage!H45</f>
        <v>ckw Referenz Marktpreis nach Art. 15, EnFV (Ø 4 Jahre)</v>
      </c>
      <c r="K51" s="70"/>
      <c r="L51" s="37"/>
      <c r="M51" s="37"/>
      <c r="N51" s="32"/>
      <c r="Q51" s="276"/>
      <c r="R51" s="276"/>
      <c r="S51" s="276"/>
      <c r="T51" s="276"/>
      <c r="U51" s="276"/>
      <c r="V51" s="276"/>
      <c r="W51" s="276"/>
      <c r="X51" s="276"/>
      <c r="Y51" s="276"/>
    </row>
    <row r="52" spans="2:25" ht="12.75" customHeight="1" thickBot="1"/>
    <row r="53" spans="2:25" s="21" customFormat="1" ht="21.75" thickBot="1">
      <c r="B53" s="18" t="s">
        <v>29</v>
      </c>
      <c r="C53" s="19"/>
      <c r="D53" s="19"/>
      <c r="E53" s="19"/>
      <c r="F53" s="19"/>
      <c r="G53" s="19"/>
      <c r="H53" s="19"/>
      <c r="I53" s="19"/>
      <c r="J53" s="19"/>
      <c r="K53" s="19"/>
      <c r="L53" s="19"/>
      <c r="M53" s="19"/>
      <c r="N53" s="20"/>
      <c r="Q53" s="275"/>
      <c r="R53" s="275"/>
      <c r="S53" s="275"/>
      <c r="T53" s="275"/>
      <c r="U53" s="275"/>
      <c r="V53" s="275"/>
      <c r="W53" s="275"/>
      <c r="X53" s="275"/>
      <c r="Y53" s="275"/>
    </row>
    <row r="54" spans="2:25" s="28" customFormat="1" ht="19.149999999999999" customHeight="1">
      <c r="B54" s="235" t="s">
        <v>126</v>
      </c>
      <c r="C54" s="130"/>
      <c r="D54" s="635" t="s">
        <v>197</v>
      </c>
      <c r="E54" s="595"/>
      <c r="F54" s="595"/>
      <c r="G54" s="595"/>
      <c r="H54" s="595"/>
      <c r="I54" s="595"/>
      <c r="J54" s="648"/>
      <c r="K54" s="595" t="s">
        <v>198</v>
      </c>
      <c r="L54" s="595"/>
      <c r="M54" s="595"/>
      <c r="N54" s="596"/>
      <c r="Q54" s="276"/>
      <c r="R54" s="276"/>
      <c r="S54" s="276"/>
      <c r="T54" s="276"/>
      <c r="U54" s="300"/>
      <c r="V54" s="300"/>
      <c r="W54" s="300"/>
      <c r="X54" s="300"/>
      <c r="Y54" s="300"/>
    </row>
    <row r="55" spans="2:25" s="28" customFormat="1" ht="151.15" customHeight="1">
      <c r="B55" s="132"/>
      <c r="C55" s="133"/>
      <c r="D55" s="623"/>
      <c r="E55" s="624"/>
      <c r="F55" s="624"/>
      <c r="G55" s="624"/>
      <c r="H55" s="624"/>
      <c r="I55" s="624"/>
      <c r="J55" s="631"/>
      <c r="K55" s="623"/>
      <c r="L55" s="624"/>
      <c r="M55" s="624"/>
      <c r="N55" s="625"/>
      <c r="Q55" s="277"/>
      <c r="R55" s="276"/>
      <c r="S55" s="276"/>
      <c r="T55" s="276"/>
      <c r="U55" s="300"/>
      <c r="V55" s="300"/>
      <c r="W55" s="300"/>
      <c r="X55" s="300"/>
      <c r="Y55" s="300"/>
    </row>
    <row r="56" spans="2:25" s="28" customFormat="1" ht="19.149999999999999" customHeight="1" thickBot="1">
      <c r="B56" s="134" t="s">
        <v>17</v>
      </c>
      <c r="C56" s="135"/>
      <c r="D56" s="620" t="str">
        <f ca="1">IFERROR(IF(_Amortisationszeit_Max&gt;0,_Amortisationszeit_Max&amp;" Jahre","Keine Amortisation innert "&amp;_Lebensdauer&amp;" Jahren"),"")</f>
        <v>Keine Amortisation innert 30 Jahren</v>
      </c>
      <c r="E56" s="621"/>
      <c r="F56" s="621"/>
      <c r="G56" s="621"/>
      <c r="H56" s="621"/>
      <c r="I56" s="621"/>
      <c r="J56" s="622"/>
      <c r="K56" s="626" t="str">
        <f ca="1">IFERROR(IF(_Amortisationszeit_ges.Min&gt;0,_Amortisationszeit_ges.Min&amp;" Jahre","Keine Amortisation innert "&amp;_Lebensdauer&amp;" Jahren"),"")</f>
        <v>Keine Amortisation innert 30 Jahren</v>
      </c>
      <c r="L56" s="627"/>
      <c r="M56" s="627"/>
      <c r="N56" s="628"/>
      <c r="Q56" s="305"/>
      <c r="R56" s="305"/>
      <c r="S56" s="305"/>
      <c r="T56" s="306"/>
      <c r="U56" s="305"/>
      <c r="V56" s="305"/>
      <c r="W56" s="305"/>
      <c r="X56" s="305"/>
      <c r="Y56" s="305"/>
    </row>
    <row r="57" spans="2:25" ht="12.75" customHeight="1" thickBot="1"/>
    <row r="58" spans="2:25" s="21" customFormat="1" ht="21.75" thickBot="1">
      <c r="B58" s="18" t="s">
        <v>304</v>
      </c>
      <c r="C58" s="19"/>
      <c r="D58" s="19"/>
      <c r="E58" s="19"/>
      <c r="F58" s="19"/>
      <c r="G58" s="19"/>
      <c r="H58" s="19"/>
      <c r="I58" s="19"/>
      <c r="J58" s="19"/>
      <c r="K58" s="19"/>
      <c r="L58" s="19"/>
      <c r="M58" s="19"/>
      <c r="N58" s="20"/>
      <c r="Q58" s="275"/>
      <c r="R58" s="275"/>
      <c r="S58" s="275"/>
      <c r="T58" s="275"/>
      <c r="U58" s="275"/>
      <c r="V58" s="275"/>
      <c r="W58" s="275"/>
      <c r="X58" s="275"/>
      <c r="Y58" s="275"/>
    </row>
    <row r="59" spans="2:25" s="28" customFormat="1" ht="19.149999999999999" customHeight="1">
      <c r="B59" s="136">
        <v>1</v>
      </c>
      <c r="C59" s="629" t="s">
        <v>124</v>
      </c>
      <c r="D59" s="629"/>
      <c r="E59" s="629"/>
      <c r="F59" s="629"/>
      <c r="G59" s="629"/>
      <c r="H59" s="629"/>
      <c r="I59" s="629"/>
      <c r="J59" s="629"/>
      <c r="K59" s="629"/>
      <c r="L59" s="629"/>
      <c r="M59" s="629"/>
      <c r="N59" s="630"/>
      <c r="Q59" s="276"/>
      <c r="R59" s="276"/>
      <c r="S59" s="276"/>
      <c r="T59" s="307"/>
      <c r="U59" s="276"/>
      <c r="V59" s="276"/>
      <c r="W59" s="276"/>
      <c r="X59" s="276"/>
      <c r="Y59" s="276"/>
    </row>
    <row r="60" spans="2:25" s="28" customFormat="1" ht="19.149999999999999" customHeight="1">
      <c r="B60" s="137">
        <f ca="1">X28</f>
        <v>0</v>
      </c>
      <c r="C60" s="616" t="s">
        <v>335</v>
      </c>
      <c r="D60" s="616"/>
      <c r="E60" s="616"/>
      <c r="F60" s="616"/>
      <c r="G60" s="616"/>
      <c r="H60" s="616"/>
      <c r="I60" s="616"/>
      <c r="J60" s="616"/>
      <c r="K60" s="616"/>
      <c r="L60" s="616"/>
      <c r="M60" s="616"/>
      <c r="N60" s="617"/>
      <c r="Q60" s="276"/>
      <c r="R60" s="276"/>
      <c r="S60" s="276"/>
      <c r="T60" s="307"/>
      <c r="U60" s="276"/>
      <c r="V60" s="276"/>
      <c r="W60" s="276"/>
      <c r="X60" s="276"/>
      <c r="Y60" s="276"/>
    </row>
    <row r="61" spans="2:25" s="28" customFormat="1" ht="19.149999999999999" customHeight="1">
      <c r="B61" s="137">
        <f ca="1">Y28</f>
        <v>0</v>
      </c>
      <c r="C61" s="616" t="s">
        <v>334</v>
      </c>
      <c r="D61" s="616"/>
      <c r="E61" s="616"/>
      <c r="F61" s="616"/>
      <c r="G61" s="616"/>
      <c r="H61" s="616"/>
      <c r="I61" s="616"/>
      <c r="J61" s="616"/>
      <c r="K61" s="616"/>
      <c r="L61" s="616"/>
      <c r="M61" s="616"/>
      <c r="N61" s="617"/>
      <c r="Q61" s="276"/>
      <c r="R61" s="276"/>
      <c r="S61" s="276"/>
      <c r="T61" s="307"/>
      <c r="U61" s="276"/>
      <c r="V61" s="276"/>
      <c r="W61" s="276"/>
      <c r="X61" s="276"/>
      <c r="Y61" s="276"/>
    </row>
    <row r="62" spans="2:25" s="28" customFormat="1" ht="19.149999999999999" customHeight="1">
      <c r="B62" s="33">
        <f>IF(SUM(D33:G43)&gt;0,1,0)</f>
        <v>0</v>
      </c>
      <c r="C62" s="616" t="s">
        <v>149</v>
      </c>
      <c r="D62" s="616"/>
      <c r="E62" s="616"/>
      <c r="F62" s="616"/>
      <c r="G62" s="616"/>
      <c r="H62" s="616"/>
      <c r="I62" s="616"/>
      <c r="J62" s="616"/>
      <c r="K62" s="616"/>
      <c r="L62" s="616"/>
      <c r="M62" s="616"/>
      <c r="N62" s="617"/>
      <c r="Q62" s="303"/>
      <c r="R62" s="276"/>
      <c r="S62" s="276"/>
      <c r="T62" s="307"/>
      <c r="U62" s="303"/>
      <c r="V62" s="303"/>
      <c r="W62" s="303"/>
      <c r="X62" s="303"/>
      <c r="Y62" s="303"/>
    </row>
    <row r="63" spans="2:25" s="28" customFormat="1" ht="19.149999999999999" customHeight="1">
      <c r="B63" s="33">
        <f>IF(SUM(K33:L43)&gt;0,1,0)</f>
        <v>0</v>
      </c>
      <c r="C63" s="616" t="s">
        <v>150</v>
      </c>
      <c r="D63" s="616"/>
      <c r="E63" s="616"/>
      <c r="F63" s="616"/>
      <c r="G63" s="616"/>
      <c r="H63" s="616"/>
      <c r="I63" s="616"/>
      <c r="J63" s="616"/>
      <c r="K63" s="616"/>
      <c r="L63" s="616"/>
      <c r="M63" s="616"/>
      <c r="N63" s="617"/>
      <c r="Q63" s="303"/>
      <c r="R63" s="276"/>
      <c r="S63" s="276"/>
      <c r="T63" s="276"/>
      <c r="U63" s="276"/>
      <c r="V63" s="276"/>
      <c r="W63" s="276"/>
      <c r="X63" s="276"/>
      <c r="Y63" s="276"/>
    </row>
    <row r="64" spans="2:25" s="28" customFormat="1" ht="19.149999999999999" customHeight="1">
      <c r="B64" s="137">
        <f>IF(ISNUMBER(Datengrundlage!F16),1,0)</f>
        <v>0</v>
      </c>
      <c r="C64" s="616" t="s">
        <v>153</v>
      </c>
      <c r="D64" s="616"/>
      <c r="E64" s="616"/>
      <c r="F64" s="616"/>
      <c r="G64" s="616"/>
      <c r="H64" s="616"/>
      <c r="I64" s="616"/>
      <c r="J64" s="616"/>
      <c r="K64" s="616"/>
      <c r="L64" s="616"/>
      <c r="M64" s="616"/>
      <c r="N64" s="617"/>
      <c r="Q64" s="303"/>
      <c r="R64" s="276"/>
      <c r="S64" s="276"/>
      <c r="T64" s="276"/>
      <c r="U64" s="276"/>
      <c r="V64" s="276"/>
      <c r="W64" s="276"/>
      <c r="X64" s="276"/>
      <c r="Y64" s="276"/>
    </row>
    <row r="65" spans="2:25" s="28" customFormat="1" ht="19.149999999999999" customHeight="1">
      <c r="B65" s="137">
        <f ca="1">V28</f>
        <v>0</v>
      </c>
      <c r="C65" s="616" t="str">
        <f ca="1">"Nachweis"&amp;IF(B65&gt;1,"e","")&amp;" Einstrahlungswerte für die Teilflächen: "&amp;W28</f>
        <v>Nachweis Einstrahlungswerte für die Teilflächen: 0</v>
      </c>
      <c r="D65" s="616"/>
      <c r="E65" s="616"/>
      <c r="F65" s="616"/>
      <c r="G65" s="616"/>
      <c r="H65" s="616"/>
      <c r="I65" s="616"/>
      <c r="J65" s="616"/>
      <c r="K65" s="616"/>
      <c r="L65" s="616"/>
      <c r="M65" s="616"/>
      <c r="N65" s="617"/>
      <c r="Q65" s="303"/>
      <c r="R65" s="276"/>
      <c r="S65" s="276"/>
      <c r="T65" s="276"/>
      <c r="U65" s="276"/>
      <c r="V65" s="276"/>
      <c r="W65" s="276"/>
      <c r="X65" s="276"/>
      <c r="Y65" s="276"/>
    </row>
    <row r="66" spans="2:25" s="28" customFormat="1" ht="19.149999999999999" customHeight="1">
      <c r="B66" s="137">
        <f>IF(_ENG_Basisdaten=_ENG_Rechenwert,0,1)</f>
        <v>0</v>
      </c>
      <c r="C66" s="616" t="s">
        <v>297</v>
      </c>
      <c r="D66" s="616"/>
      <c r="E66" s="616"/>
      <c r="F66" s="616"/>
      <c r="G66" s="616"/>
      <c r="H66" s="616"/>
      <c r="I66" s="616"/>
      <c r="J66" s="616"/>
      <c r="K66" s="616"/>
      <c r="L66" s="616"/>
      <c r="M66" s="616"/>
      <c r="N66" s="617"/>
      <c r="Q66" s="308"/>
      <c r="R66" s="308"/>
      <c r="S66" s="308"/>
      <c r="T66" s="308"/>
      <c r="U66" s="308"/>
      <c r="V66" s="308"/>
      <c r="W66" s="308"/>
      <c r="X66" s="308"/>
      <c r="Y66" s="308"/>
    </row>
    <row r="67" spans="2:25" s="28" customFormat="1" ht="19.149999999999999" customHeight="1">
      <c r="B67" s="137">
        <f>IF(_Tarif_Unterhalt_Basisdaten=_Tarif_Unterhalt_Rechenwert,0,1)</f>
        <v>0</v>
      </c>
      <c r="C67" s="616" t="s">
        <v>298</v>
      </c>
      <c r="D67" s="616"/>
      <c r="E67" s="616"/>
      <c r="F67" s="616"/>
      <c r="G67" s="616"/>
      <c r="H67" s="616"/>
      <c r="I67" s="616"/>
      <c r="J67" s="616"/>
      <c r="K67" s="616"/>
      <c r="L67" s="616"/>
      <c r="M67" s="616"/>
      <c r="N67" s="617"/>
      <c r="Q67" s="308"/>
      <c r="R67" s="308"/>
      <c r="S67" s="308"/>
      <c r="T67" s="308"/>
      <c r="U67" s="308"/>
      <c r="V67" s="308"/>
      <c r="W67" s="308"/>
      <c r="X67" s="308"/>
      <c r="Y67" s="308"/>
    </row>
    <row r="68" spans="2:25" s="28" customFormat="1" ht="19.149999999999999" customHeight="1">
      <c r="B68" s="137">
        <f>IF(SUM(D36:G39)&lt;&gt;0,1,0)+IF(SUM(K36:L39)&lt;&gt;0,1,0)</f>
        <v>0</v>
      </c>
      <c r="C68" s="616" t="str">
        <f>"Nachweis"&amp;IF(B68&gt;1,"e","")&amp;" Förderbeitrag Bund (EIV)"</f>
        <v>Nachweis Förderbeitrag Bund (EIV)</v>
      </c>
      <c r="D68" s="616"/>
      <c r="E68" s="616"/>
      <c r="F68" s="616"/>
      <c r="G68" s="616"/>
      <c r="H68" s="616"/>
      <c r="I68" s="616"/>
      <c r="J68" s="616"/>
      <c r="K68" s="616"/>
      <c r="L68" s="616"/>
      <c r="M68" s="616"/>
      <c r="N68" s="617"/>
      <c r="Q68" s="308"/>
      <c r="R68" s="308"/>
      <c r="S68" s="308"/>
      <c r="T68" s="308"/>
      <c r="U68" s="308"/>
      <c r="V68" s="308"/>
      <c r="W68" s="308"/>
      <c r="X68" s="308"/>
      <c r="Y68" s="308"/>
    </row>
    <row r="69" spans="2:25" s="28" customFormat="1" ht="19.149999999999999" customHeight="1">
      <c r="B69" s="137">
        <f>IF(SUM(D40:G43)&lt;&gt;0,1,0)+IF(SUM(K40:L43)&lt;&gt;0,1,0)</f>
        <v>0</v>
      </c>
      <c r="C69" s="616" t="str">
        <f>"Nachweis"&amp;IF(B69&gt;1,"e","")&amp;" Förderbeitrag Stadt (EF)"</f>
        <v>Nachweis Förderbeitrag Stadt (EF)</v>
      </c>
      <c r="D69" s="616"/>
      <c r="E69" s="616"/>
      <c r="F69" s="616"/>
      <c r="G69" s="616"/>
      <c r="H69" s="616"/>
      <c r="I69" s="616"/>
      <c r="J69" s="616"/>
      <c r="K69" s="616"/>
      <c r="L69" s="616"/>
      <c r="M69" s="616"/>
      <c r="N69" s="617"/>
      <c r="Q69" s="308"/>
      <c r="R69" s="308"/>
      <c r="S69" s="308"/>
      <c r="T69" s="308"/>
      <c r="U69" s="308"/>
      <c r="V69" s="308"/>
      <c r="W69" s="308"/>
      <c r="X69" s="308"/>
      <c r="Y69" s="308"/>
    </row>
    <row r="70" spans="2:25" s="28" customFormat="1" ht="19.149999999999999" customHeight="1">
      <c r="B70" s="137">
        <f>OR(ISNUMBER(Datengrundlage!F22),ISNUMBER(Datengrundlage!F25),ISNUMBER(Datengrundlage!F26))*1+OR(ISNUMBER(Bericht!G28),ISNUMBER(Datengrundlage!F34),ISNUMBER(Datengrundlage!F35))*1</f>
        <v>0</v>
      </c>
      <c r="C70" s="616" t="str">
        <f>"Moduldatenbl"&amp;IF(B70&gt;1,"ä","a")&amp;"tt"&amp;IF(B70&gt;1,"er","")</f>
        <v>Moduldatenblatt</v>
      </c>
      <c r="D70" s="616"/>
      <c r="E70" s="616"/>
      <c r="F70" s="616"/>
      <c r="G70" s="616"/>
      <c r="H70" s="616"/>
      <c r="I70" s="616"/>
      <c r="J70" s="616"/>
      <c r="K70" s="616"/>
      <c r="L70" s="616"/>
      <c r="M70" s="616"/>
      <c r="N70" s="617"/>
      <c r="Q70" s="308"/>
      <c r="R70" s="308"/>
      <c r="S70" s="308"/>
      <c r="T70" s="308"/>
      <c r="U70" s="308"/>
      <c r="V70" s="308"/>
      <c r="W70" s="308"/>
      <c r="X70" s="308"/>
      <c r="Y70" s="308"/>
    </row>
    <row r="71" spans="2:25" s="28" customFormat="1" ht="19.149999999999999" customHeight="1">
      <c r="B71" s="321"/>
      <c r="C71" s="618"/>
      <c r="D71" s="618"/>
      <c r="E71" s="618"/>
      <c r="F71" s="618"/>
      <c r="G71" s="618"/>
      <c r="H71" s="618"/>
      <c r="I71" s="618"/>
      <c r="J71" s="618"/>
      <c r="K71" s="618"/>
      <c r="L71" s="618"/>
      <c r="M71" s="618"/>
      <c r="N71" s="619"/>
      <c r="Q71" s="308"/>
      <c r="R71" s="308"/>
      <c r="S71" s="308"/>
      <c r="T71" s="308"/>
      <c r="U71" s="308"/>
      <c r="V71" s="308"/>
      <c r="W71" s="308"/>
      <c r="X71" s="308"/>
      <c r="Y71" s="308"/>
    </row>
    <row r="72" spans="2:25" s="28" customFormat="1" ht="19.149999999999999" customHeight="1" thickBot="1">
      <c r="B72" s="322"/>
      <c r="C72" s="614"/>
      <c r="D72" s="614"/>
      <c r="E72" s="614"/>
      <c r="F72" s="614"/>
      <c r="G72" s="614"/>
      <c r="H72" s="614"/>
      <c r="I72" s="614"/>
      <c r="J72" s="614"/>
      <c r="K72" s="614"/>
      <c r="L72" s="614"/>
      <c r="M72" s="614"/>
      <c r="N72" s="615"/>
      <c r="Q72" s="308"/>
      <c r="R72" s="308"/>
      <c r="S72" s="308"/>
      <c r="T72" s="308"/>
      <c r="U72" s="308"/>
      <c r="V72" s="308"/>
      <c r="W72" s="308"/>
      <c r="X72" s="308"/>
      <c r="Y72" s="308"/>
    </row>
    <row r="73" spans="2:25" s="28" customFormat="1" ht="19.149999999999999" customHeight="1">
      <c r="B73"/>
      <c r="C73"/>
      <c r="D73"/>
      <c r="E73"/>
      <c r="F73"/>
      <c r="G73"/>
      <c r="H73"/>
      <c r="I73"/>
      <c r="J73"/>
      <c r="K73"/>
      <c r="L73"/>
      <c r="M73"/>
      <c r="N73"/>
      <c r="Q73" s="246"/>
      <c r="R73" s="246"/>
      <c r="S73" s="246"/>
      <c r="T73" s="246"/>
      <c r="U73" s="246"/>
      <c r="V73" s="246"/>
      <c r="W73" s="246"/>
      <c r="X73" s="246"/>
      <c r="Y73" s="246"/>
    </row>
    <row r="74" spans="2:25" s="28" customFormat="1" ht="19.149999999999999" hidden="1" customHeight="1">
      <c r="Q74" s="276"/>
      <c r="R74" s="276"/>
      <c r="S74" s="276"/>
      <c r="T74" s="276"/>
      <c r="U74" s="276"/>
      <c r="V74" s="276"/>
      <c r="W74" s="276"/>
      <c r="X74" s="276"/>
      <c r="Y74" s="276"/>
    </row>
    <row r="75" spans="2:25" s="28" customFormat="1" ht="19.149999999999999" hidden="1" customHeight="1">
      <c r="Q75" s="276"/>
      <c r="R75" s="276"/>
      <c r="S75" s="276"/>
      <c r="T75" s="276"/>
      <c r="U75" s="276"/>
      <c r="V75" s="276"/>
      <c r="W75" s="276"/>
      <c r="X75" s="276"/>
      <c r="Y75" s="276"/>
    </row>
    <row r="76" spans="2:25"/>
    <row r="77" spans="2:25"/>
    <row r="78" spans="2:25"/>
    <row r="79" spans="2:25"/>
    <row r="80" spans="2:25"/>
  </sheetData>
  <sheetProtection selectLockedCells="1" autoFilter="0"/>
  <mergeCells count="97">
    <mergeCell ref="K41:L41"/>
    <mergeCell ref="K42:L42"/>
    <mergeCell ref="E2:M4"/>
    <mergeCell ref="C61:N61"/>
    <mergeCell ref="C62:N62"/>
    <mergeCell ref="K31:N31"/>
    <mergeCell ref="K44:L44"/>
    <mergeCell ref="K43:L43"/>
    <mergeCell ref="H33:I33"/>
    <mergeCell ref="D47:G47"/>
    <mergeCell ref="D48:G48"/>
    <mergeCell ref="K38:L38"/>
    <mergeCell ref="L7:N7"/>
    <mergeCell ref="L8:N8"/>
    <mergeCell ref="D31:J31"/>
    <mergeCell ref="D54:J54"/>
    <mergeCell ref="C63:N63"/>
    <mergeCell ref="D56:J56"/>
    <mergeCell ref="K55:N55"/>
    <mergeCell ref="K56:N56"/>
    <mergeCell ref="C59:N59"/>
    <mergeCell ref="C60:N60"/>
    <mergeCell ref="D55:J55"/>
    <mergeCell ref="C72:N72"/>
    <mergeCell ref="C64:N64"/>
    <mergeCell ref="C65:N65"/>
    <mergeCell ref="C66:N66"/>
    <mergeCell ref="C67:N67"/>
    <mergeCell ref="C71:N71"/>
    <mergeCell ref="C68:N68"/>
    <mergeCell ref="C69:N69"/>
    <mergeCell ref="C70:N70"/>
    <mergeCell ref="K54:N54"/>
    <mergeCell ref="L9:N9"/>
    <mergeCell ref="L10:N10"/>
    <mergeCell ref="D13:G13"/>
    <mergeCell ref="H13:I13"/>
    <mergeCell ref="J13:K13"/>
    <mergeCell ref="L13:N13"/>
    <mergeCell ref="D49:G49"/>
    <mergeCell ref="D50:G50"/>
    <mergeCell ref="D9:H9"/>
    <mergeCell ref="M32:N32"/>
    <mergeCell ref="D32:G32"/>
    <mergeCell ref="D44:G44"/>
    <mergeCell ref="H43:I43"/>
    <mergeCell ref="H44:I44"/>
    <mergeCell ref="D36:G36"/>
    <mergeCell ref="D43:G43"/>
    <mergeCell ref="H36:I36"/>
    <mergeCell ref="H38:I38"/>
    <mergeCell ref="H39:I39"/>
    <mergeCell ref="H40:I40"/>
    <mergeCell ref="H41:I41"/>
    <mergeCell ref="H42:I42"/>
    <mergeCell ref="D37:G37"/>
    <mergeCell ref="H37:I37"/>
    <mergeCell ref="D34:G34"/>
    <mergeCell ref="D35:G35"/>
    <mergeCell ref="H32:J32"/>
    <mergeCell ref="K36:L36"/>
    <mergeCell ref="J7:K7"/>
    <mergeCell ref="J8:K8"/>
    <mergeCell ref="J9:K9"/>
    <mergeCell ref="J10:K10"/>
    <mergeCell ref="K33:L33"/>
    <mergeCell ref="K34:L34"/>
    <mergeCell ref="K35:L35"/>
    <mergeCell ref="K32:L32"/>
    <mergeCell ref="D51:G51"/>
    <mergeCell ref="B7:C7"/>
    <mergeCell ref="B8:C8"/>
    <mergeCell ref="B9:C9"/>
    <mergeCell ref="B10:C10"/>
    <mergeCell ref="D33:G33"/>
    <mergeCell ref="D40:G40"/>
    <mergeCell ref="D38:G38"/>
    <mergeCell ref="D39:G39"/>
    <mergeCell ref="D7:H7"/>
    <mergeCell ref="D8:H8"/>
    <mergeCell ref="D10:H10"/>
    <mergeCell ref="D41:G41"/>
    <mergeCell ref="D42:G42"/>
    <mergeCell ref="H34:I34"/>
    <mergeCell ref="H35:I35"/>
    <mergeCell ref="K39:L39"/>
    <mergeCell ref="K40:L40"/>
    <mergeCell ref="K37:L37"/>
    <mergeCell ref="AB13:AE13"/>
    <mergeCell ref="AF13:AI13"/>
    <mergeCell ref="U13:U15"/>
    <mergeCell ref="V13:V15"/>
    <mergeCell ref="W13:W15"/>
    <mergeCell ref="X13:X15"/>
    <mergeCell ref="Y13:Y15"/>
    <mergeCell ref="Z13:Z15"/>
    <mergeCell ref="AA13:AA15"/>
  </mergeCells>
  <conditionalFormatting sqref="D56:J56">
    <cfRule type="expression" dxfId="4" priority="10">
      <formula>OR(_Amortisationszeit_Max&gt;_zul_Amortisationszeit,_Amortisationszeit_Max=0)</formula>
    </cfRule>
  </conditionalFormatting>
  <conditionalFormatting sqref="K56:N56">
    <cfRule type="expression" dxfId="3" priority="9">
      <formula>OR(_Amortisationszeit_ges.Min&gt;_zul_Amortisationszeit,_Amortisationszeit_ges.Min=0)</formula>
    </cfRule>
  </conditionalFormatting>
  <dataValidations disablePrompts="1" count="1">
    <dataValidation type="list" allowBlank="1" showInputMessage="1" showErrorMessage="1" sqref="D10" xr:uid="{00000000-0002-0000-0100-000000000000}">
      <formula1>$Q$8:$R$8</formula1>
    </dataValidation>
  </dataValidations>
  <pageMargins left="0.7" right="0.7" top="0.75" bottom="0.75" header="0.3" footer="0.3"/>
  <pageSetup paperSize="9" scale="50"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1000000}">
          <x14:formula1>
            <xm:f>Basisdaten!$H$45:$I$45</xm:f>
          </x14:formula1>
          <xm:sqref>L7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O123"/>
  <sheetViews>
    <sheetView workbookViewId="0"/>
  </sheetViews>
  <sheetFormatPr baseColWidth="10" defaultRowHeight="15"/>
  <cols>
    <col min="2" max="2" width="11.42578125" customWidth="1"/>
    <col min="3" max="3" width="12.42578125" customWidth="1"/>
    <col min="4" max="6" width="16.42578125" customWidth="1"/>
    <col min="7" max="7" width="19.140625" customWidth="1"/>
    <col min="8" max="10" width="15.85546875" customWidth="1"/>
    <col min="11" max="11" width="17.28515625" customWidth="1"/>
    <col min="12" max="12" width="14.85546875" customWidth="1"/>
    <col min="13" max="13" width="14.7109375" customWidth="1"/>
    <col min="14" max="14" width="13.7109375" customWidth="1"/>
    <col min="16" max="17" width="15.7109375" customWidth="1"/>
    <col min="20" max="20" width="41.42578125" customWidth="1"/>
  </cols>
  <sheetData>
    <row r="1" spans="1:15" ht="26.25">
      <c r="A1" s="9" t="s">
        <v>113</v>
      </c>
      <c r="C1" s="2"/>
    </row>
    <row r="2" spans="1:15">
      <c r="C2" s="2"/>
    </row>
    <row r="3" spans="1:15" s="10" customFormat="1" ht="45.75" thickBot="1">
      <c r="A3" s="10" t="s">
        <v>1</v>
      </c>
      <c r="B3" s="10" t="s">
        <v>22</v>
      </c>
      <c r="C3" s="10" t="s">
        <v>6</v>
      </c>
      <c r="D3" s="10" t="s">
        <v>9</v>
      </c>
      <c r="E3" s="10" t="s">
        <v>11</v>
      </c>
      <c r="F3" s="10" t="s">
        <v>10</v>
      </c>
      <c r="G3" s="10" t="s">
        <v>12</v>
      </c>
      <c r="H3" s="10" t="s">
        <v>108</v>
      </c>
      <c r="I3" s="10" t="s">
        <v>107</v>
      </c>
      <c r="J3" s="10" t="s">
        <v>110</v>
      </c>
      <c r="K3" s="10" t="s">
        <v>13</v>
      </c>
      <c r="L3" s="10" t="s">
        <v>14</v>
      </c>
      <c r="M3" s="10" t="s">
        <v>16</v>
      </c>
      <c r="N3" s="10" t="s">
        <v>18</v>
      </c>
      <c r="O3" s="10" t="s">
        <v>19</v>
      </c>
    </row>
    <row r="4" spans="1:15" s="11" customFormat="1" ht="29.25" customHeight="1">
      <c r="A4" s="12" t="s">
        <v>15</v>
      </c>
      <c r="B4" s="12"/>
      <c r="C4" s="12"/>
      <c r="D4" s="13">
        <f t="shared" ref="D4:L4" ca="1" si="0">SUM(D6:D105)</f>
        <v>0</v>
      </c>
      <c r="E4" s="13">
        <f t="shared" ca="1" si="0"/>
        <v>0</v>
      </c>
      <c r="F4" s="13">
        <f t="shared" ca="1" si="0"/>
        <v>0</v>
      </c>
      <c r="G4" s="13">
        <f t="shared" ca="1" si="0"/>
        <v>0</v>
      </c>
      <c r="H4" s="13">
        <f t="shared" ca="1" si="0"/>
        <v>0</v>
      </c>
      <c r="I4" s="13">
        <f t="shared" ca="1" si="0"/>
        <v>0</v>
      </c>
      <c r="J4" s="13">
        <f t="shared" ca="1" si="0"/>
        <v>0</v>
      </c>
      <c r="K4" s="13">
        <f t="shared" ca="1" si="0"/>
        <v>0</v>
      </c>
      <c r="L4" s="13">
        <f t="shared" ca="1" si="0"/>
        <v>0</v>
      </c>
      <c r="M4" s="13">
        <f ca="1">SUM(M6:M101)</f>
        <v>0</v>
      </c>
      <c r="N4" s="13"/>
      <c r="O4" s="13"/>
    </row>
    <row r="5" spans="1:15">
      <c r="A5">
        <v>0</v>
      </c>
      <c r="B5">
        <f>A5</f>
        <v>0</v>
      </c>
      <c r="C5">
        <v>100</v>
      </c>
      <c r="L5" s="4">
        <f ca="1">-_Gesamtkosten_Ges.Min</f>
        <v>0</v>
      </c>
      <c r="N5" s="6">
        <f t="shared" ref="N5:N35" ca="1" si="1">IF(ISNUMBER(B5),IF(L5&lt;0,L5,0),"")</f>
        <v>0</v>
      </c>
      <c r="O5" s="6">
        <f t="shared" ref="O5:O35" ca="1" si="2">IF(ISNUMBER(B5),IF(L5&gt;0,L5,0),"")</f>
        <v>0</v>
      </c>
    </row>
    <row r="6" spans="1:15">
      <c r="A6">
        <f>A5+1</f>
        <v>1</v>
      </c>
      <c r="B6">
        <f t="shared" ref="B6:B69" si="3">IF(A6&lt;=_Lebensdauer,A6,"")</f>
        <v>1</v>
      </c>
      <c r="C6" s="3">
        <f t="shared" ref="C6:C37" si="4">IF(ISNUMBER(B6),$C$5-B6*_Degradation_pro_Jahr_Standard,0)</f>
        <v>99.62833333333333</v>
      </c>
      <c r="D6" s="4">
        <f t="shared" ref="D6:D37" ca="1" si="5">_Ertrag_Ges.Min*C6/100</f>
        <v>0</v>
      </c>
      <c r="E6" s="4">
        <f t="shared" ref="E6:E37" ca="1" si="6">D6*_ENG_Rechenwert/100</f>
        <v>0</v>
      </c>
      <c r="F6" s="4">
        <f t="shared" ref="F6:F37" ca="1" si="7">(D6-E6)*_Tarif_Rücklieferung/100</f>
        <v>0</v>
      </c>
      <c r="G6" s="4">
        <f t="shared" ref="G6:G37" ca="1" si="8">E6*_Tarif_Bezug/100</f>
        <v>0</v>
      </c>
      <c r="H6" s="4">
        <f t="shared" ref="H6:H37" ca="1" si="9">IF(_EIV_t=B6,-_EIV_Ges.Min_Rechenwert,0)+IF(_EF_t=B6,-_EF_Ges.Min_Rechenwert,0)</f>
        <v>0</v>
      </c>
      <c r="I6" s="4">
        <f t="shared" ref="I6:I37" ca="1" si="10">-D6*_Tarif_Unterhalt_Rechenwert/100</f>
        <v>0</v>
      </c>
      <c r="J6" s="4">
        <f t="shared" ref="J6:J37" ca="1" si="11">IF(L5&lt;0,L5*_Kap_Verzinsung/100,0)</f>
        <v>0</v>
      </c>
      <c r="K6" s="4">
        <f ca="1">SUM(F6:J6)</f>
        <v>0</v>
      </c>
      <c r="L6" s="4">
        <f t="shared" ref="L6:L37" ca="1" si="12">L5+K6</f>
        <v>0</v>
      </c>
      <c r="M6" s="4">
        <f t="shared" ref="M6:M37" ca="1" si="13">IF(AND(L5&lt;0,L6&gt;=0),B6,0)</f>
        <v>0</v>
      </c>
      <c r="N6" s="4">
        <f t="shared" ca="1" si="1"/>
        <v>0</v>
      </c>
      <c r="O6" s="4">
        <f t="shared" ca="1" si="2"/>
        <v>0</v>
      </c>
    </row>
    <row r="7" spans="1:15">
      <c r="A7">
        <f t="shared" ref="A7:A70" si="14">A6+1</f>
        <v>2</v>
      </c>
      <c r="B7">
        <f t="shared" si="3"/>
        <v>2</v>
      </c>
      <c r="C7" s="3">
        <f t="shared" si="4"/>
        <v>99.256666666666661</v>
      </c>
      <c r="D7" s="4">
        <f t="shared" ca="1" si="5"/>
        <v>0</v>
      </c>
      <c r="E7" s="4">
        <f t="shared" ca="1" si="6"/>
        <v>0</v>
      </c>
      <c r="F7" s="4">
        <f t="shared" ca="1" si="7"/>
        <v>0</v>
      </c>
      <c r="G7" s="4">
        <f t="shared" ca="1" si="8"/>
        <v>0</v>
      </c>
      <c r="H7" s="4">
        <f t="shared" si="9"/>
        <v>0</v>
      </c>
      <c r="I7" s="4">
        <f t="shared" ca="1" si="10"/>
        <v>0</v>
      </c>
      <c r="J7" s="4">
        <f t="shared" ca="1" si="11"/>
        <v>0</v>
      </c>
      <c r="K7" s="4">
        <f t="shared" ref="K7:K37" ca="1" si="15">SUM(F7:J7)</f>
        <v>0</v>
      </c>
      <c r="L7" s="4">
        <f t="shared" ca="1" si="12"/>
        <v>0</v>
      </c>
      <c r="M7" s="4">
        <f t="shared" ca="1" si="13"/>
        <v>0</v>
      </c>
      <c r="N7" s="4">
        <f t="shared" ca="1" si="1"/>
        <v>0</v>
      </c>
      <c r="O7" s="4">
        <f t="shared" ca="1" si="2"/>
        <v>0</v>
      </c>
    </row>
    <row r="8" spans="1:15">
      <c r="A8">
        <f t="shared" si="14"/>
        <v>3</v>
      </c>
      <c r="B8">
        <f t="shared" si="3"/>
        <v>3</v>
      </c>
      <c r="C8" s="3">
        <f t="shared" si="4"/>
        <v>98.885000000000005</v>
      </c>
      <c r="D8" s="4">
        <f t="shared" ca="1" si="5"/>
        <v>0</v>
      </c>
      <c r="E8" s="4">
        <f t="shared" ca="1" si="6"/>
        <v>0</v>
      </c>
      <c r="F8" s="4">
        <f t="shared" ca="1" si="7"/>
        <v>0</v>
      </c>
      <c r="G8" s="4">
        <f t="shared" ca="1" si="8"/>
        <v>0</v>
      </c>
      <c r="H8" s="4">
        <f t="shared" si="9"/>
        <v>0</v>
      </c>
      <c r="I8" s="4">
        <f t="shared" ca="1" si="10"/>
        <v>0</v>
      </c>
      <c r="J8" s="4">
        <f t="shared" ca="1" si="11"/>
        <v>0</v>
      </c>
      <c r="K8" s="4">
        <f t="shared" ca="1" si="15"/>
        <v>0</v>
      </c>
      <c r="L8" s="4">
        <f t="shared" ca="1" si="12"/>
        <v>0</v>
      </c>
      <c r="M8" s="4">
        <f t="shared" ca="1" si="13"/>
        <v>0</v>
      </c>
      <c r="N8" s="4">
        <f t="shared" ca="1" si="1"/>
        <v>0</v>
      </c>
      <c r="O8" s="4">
        <f t="shared" ca="1" si="2"/>
        <v>0</v>
      </c>
    </row>
    <row r="9" spans="1:15">
      <c r="A9">
        <f t="shared" si="14"/>
        <v>4</v>
      </c>
      <c r="B9">
        <f t="shared" si="3"/>
        <v>4</v>
      </c>
      <c r="C9" s="3">
        <f t="shared" si="4"/>
        <v>98.513333333333335</v>
      </c>
      <c r="D9" s="4">
        <f t="shared" ca="1" si="5"/>
        <v>0</v>
      </c>
      <c r="E9" s="4">
        <f t="shared" ca="1" si="6"/>
        <v>0</v>
      </c>
      <c r="F9" s="4">
        <f t="shared" ca="1" si="7"/>
        <v>0</v>
      </c>
      <c r="G9" s="4">
        <f t="shared" ca="1" si="8"/>
        <v>0</v>
      </c>
      <c r="H9" s="4">
        <f t="shared" si="9"/>
        <v>0</v>
      </c>
      <c r="I9" s="4">
        <f t="shared" ca="1" si="10"/>
        <v>0</v>
      </c>
      <c r="J9" s="4">
        <f t="shared" ca="1" si="11"/>
        <v>0</v>
      </c>
      <c r="K9" s="4">
        <f t="shared" ca="1" si="15"/>
        <v>0</v>
      </c>
      <c r="L9" s="4">
        <f t="shared" ca="1" si="12"/>
        <v>0</v>
      </c>
      <c r="M9" s="4">
        <f t="shared" ca="1" si="13"/>
        <v>0</v>
      </c>
      <c r="N9" s="4">
        <f t="shared" ca="1" si="1"/>
        <v>0</v>
      </c>
      <c r="O9" s="4">
        <f t="shared" ca="1" si="2"/>
        <v>0</v>
      </c>
    </row>
    <row r="10" spans="1:15">
      <c r="A10">
        <f t="shared" si="14"/>
        <v>5</v>
      </c>
      <c r="B10">
        <f t="shared" si="3"/>
        <v>5</v>
      </c>
      <c r="C10" s="3">
        <f t="shared" si="4"/>
        <v>98.141666666666666</v>
      </c>
      <c r="D10" s="4">
        <f t="shared" ca="1" si="5"/>
        <v>0</v>
      </c>
      <c r="E10" s="4">
        <f t="shared" ca="1" si="6"/>
        <v>0</v>
      </c>
      <c r="F10" s="4">
        <f t="shared" ca="1" si="7"/>
        <v>0</v>
      </c>
      <c r="G10" s="4">
        <f t="shared" ca="1" si="8"/>
        <v>0</v>
      </c>
      <c r="H10" s="4">
        <f t="shared" si="9"/>
        <v>0</v>
      </c>
      <c r="I10" s="4">
        <f t="shared" ca="1" si="10"/>
        <v>0</v>
      </c>
      <c r="J10" s="4">
        <f t="shared" ca="1" si="11"/>
        <v>0</v>
      </c>
      <c r="K10" s="4">
        <f t="shared" ca="1" si="15"/>
        <v>0</v>
      </c>
      <c r="L10" s="4">
        <f t="shared" ca="1" si="12"/>
        <v>0</v>
      </c>
      <c r="M10" s="4">
        <f t="shared" ca="1" si="13"/>
        <v>0</v>
      </c>
      <c r="N10" s="4">
        <f t="shared" ca="1" si="1"/>
        <v>0</v>
      </c>
      <c r="O10" s="4">
        <f t="shared" ca="1" si="2"/>
        <v>0</v>
      </c>
    </row>
    <row r="11" spans="1:15">
      <c r="A11">
        <f t="shared" si="14"/>
        <v>6</v>
      </c>
      <c r="B11">
        <f t="shared" si="3"/>
        <v>6</v>
      </c>
      <c r="C11" s="3">
        <f t="shared" si="4"/>
        <v>97.77</v>
      </c>
      <c r="D11" s="4">
        <f t="shared" ca="1" si="5"/>
        <v>0</v>
      </c>
      <c r="E11" s="4">
        <f t="shared" ca="1" si="6"/>
        <v>0</v>
      </c>
      <c r="F11" s="4">
        <f t="shared" ca="1" si="7"/>
        <v>0</v>
      </c>
      <c r="G11" s="4">
        <f t="shared" ca="1" si="8"/>
        <v>0</v>
      </c>
      <c r="H11" s="4">
        <f t="shared" si="9"/>
        <v>0</v>
      </c>
      <c r="I11" s="4">
        <f t="shared" ca="1" si="10"/>
        <v>0</v>
      </c>
      <c r="J11" s="4">
        <f t="shared" ca="1" si="11"/>
        <v>0</v>
      </c>
      <c r="K11" s="4">
        <f t="shared" ca="1" si="15"/>
        <v>0</v>
      </c>
      <c r="L11" s="4">
        <f t="shared" ca="1" si="12"/>
        <v>0</v>
      </c>
      <c r="M11" s="4">
        <f t="shared" ca="1" si="13"/>
        <v>0</v>
      </c>
      <c r="N11" s="4">
        <f t="shared" ca="1" si="1"/>
        <v>0</v>
      </c>
      <c r="O11" s="4">
        <f t="shared" ca="1" si="2"/>
        <v>0</v>
      </c>
    </row>
    <row r="12" spans="1:15">
      <c r="A12">
        <f t="shared" si="14"/>
        <v>7</v>
      </c>
      <c r="B12">
        <f t="shared" si="3"/>
        <v>7</v>
      </c>
      <c r="C12" s="3">
        <f t="shared" si="4"/>
        <v>97.398333333333326</v>
      </c>
      <c r="D12" s="4">
        <f t="shared" ca="1" si="5"/>
        <v>0</v>
      </c>
      <c r="E12" s="4">
        <f t="shared" ca="1" si="6"/>
        <v>0</v>
      </c>
      <c r="F12" s="4">
        <f t="shared" ca="1" si="7"/>
        <v>0</v>
      </c>
      <c r="G12" s="4">
        <f t="shared" ca="1" si="8"/>
        <v>0</v>
      </c>
      <c r="H12" s="4">
        <f t="shared" si="9"/>
        <v>0</v>
      </c>
      <c r="I12" s="4">
        <f t="shared" ca="1" si="10"/>
        <v>0</v>
      </c>
      <c r="J12" s="4">
        <f t="shared" ca="1" si="11"/>
        <v>0</v>
      </c>
      <c r="K12" s="4">
        <f t="shared" ca="1" si="15"/>
        <v>0</v>
      </c>
      <c r="L12" s="4">
        <f t="shared" ca="1" si="12"/>
        <v>0</v>
      </c>
      <c r="M12" s="4">
        <f t="shared" ca="1" si="13"/>
        <v>0</v>
      </c>
      <c r="N12" s="4">
        <f t="shared" ca="1" si="1"/>
        <v>0</v>
      </c>
      <c r="O12" s="4">
        <f t="shared" ca="1" si="2"/>
        <v>0</v>
      </c>
    </row>
    <row r="13" spans="1:15">
      <c r="A13">
        <f t="shared" si="14"/>
        <v>8</v>
      </c>
      <c r="B13">
        <f t="shared" si="3"/>
        <v>8</v>
      </c>
      <c r="C13" s="3">
        <f t="shared" si="4"/>
        <v>97.026666666666671</v>
      </c>
      <c r="D13" s="4">
        <f t="shared" ca="1" si="5"/>
        <v>0</v>
      </c>
      <c r="E13" s="4">
        <f t="shared" ca="1" si="6"/>
        <v>0</v>
      </c>
      <c r="F13" s="4">
        <f t="shared" ca="1" si="7"/>
        <v>0</v>
      </c>
      <c r="G13" s="4">
        <f t="shared" ca="1" si="8"/>
        <v>0</v>
      </c>
      <c r="H13" s="4">
        <f t="shared" si="9"/>
        <v>0</v>
      </c>
      <c r="I13" s="4">
        <f t="shared" ca="1" si="10"/>
        <v>0</v>
      </c>
      <c r="J13" s="4">
        <f t="shared" ca="1" si="11"/>
        <v>0</v>
      </c>
      <c r="K13" s="4">
        <f t="shared" ca="1" si="15"/>
        <v>0</v>
      </c>
      <c r="L13" s="4">
        <f t="shared" ca="1" si="12"/>
        <v>0</v>
      </c>
      <c r="M13" s="4">
        <f t="shared" ca="1" si="13"/>
        <v>0</v>
      </c>
      <c r="N13" s="4">
        <f t="shared" ca="1" si="1"/>
        <v>0</v>
      </c>
      <c r="O13" s="4">
        <f t="shared" ca="1" si="2"/>
        <v>0</v>
      </c>
    </row>
    <row r="14" spans="1:15">
      <c r="A14">
        <f t="shared" si="14"/>
        <v>9</v>
      </c>
      <c r="B14">
        <f t="shared" si="3"/>
        <v>9</v>
      </c>
      <c r="C14" s="3">
        <f t="shared" si="4"/>
        <v>96.655000000000001</v>
      </c>
      <c r="D14" s="4">
        <f t="shared" ca="1" si="5"/>
        <v>0</v>
      </c>
      <c r="E14" s="4">
        <f t="shared" ca="1" si="6"/>
        <v>0</v>
      </c>
      <c r="F14" s="4">
        <f t="shared" ca="1" si="7"/>
        <v>0</v>
      </c>
      <c r="G14" s="4">
        <f t="shared" ca="1" si="8"/>
        <v>0</v>
      </c>
      <c r="H14" s="4">
        <f t="shared" si="9"/>
        <v>0</v>
      </c>
      <c r="I14" s="4">
        <f t="shared" ca="1" si="10"/>
        <v>0</v>
      </c>
      <c r="J14" s="4">
        <f t="shared" ca="1" si="11"/>
        <v>0</v>
      </c>
      <c r="K14" s="4">
        <f t="shared" ca="1" si="15"/>
        <v>0</v>
      </c>
      <c r="L14" s="4">
        <f t="shared" ca="1" si="12"/>
        <v>0</v>
      </c>
      <c r="M14" s="4">
        <f t="shared" ca="1" si="13"/>
        <v>0</v>
      </c>
      <c r="N14" s="4">
        <f t="shared" ca="1" si="1"/>
        <v>0</v>
      </c>
      <c r="O14" s="4">
        <f t="shared" ca="1" si="2"/>
        <v>0</v>
      </c>
    </row>
    <row r="15" spans="1:15">
      <c r="A15">
        <f t="shared" si="14"/>
        <v>10</v>
      </c>
      <c r="B15">
        <f t="shared" si="3"/>
        <v>10</v>
      </c>
      <c r="C15" s="3">
        <f t="shared" si="4"/>
        <v>96.283333333333331</v>
      </c>
      <c r="D15" s="4">
        <f t="shared" ca="1" si="5"/>
        <v>0</v>
      </c>
      <c r="E15" s="4">
        <f t="shared" ca="1" si="6"/>
        <v>0</v>
      </c>
      <c r="F15" s="4">
        <f t="shared" ca="1" si="7"/>
        <v>0</v>
      </c>
      <c r="G15" s="4">
        <f t="shared" ca="1" si="8"/>
        <v>0</v>
      </c>
      <c r="H15" s="4">
        <f t="shared" si="9"/>
        <v>0</v>
      </c>
      <c r="I15" s="4">
        <f t="shared" ca="1" si="10"/>
        <v>0</v>
      </c>
      <c r="J15" s="4">
        <f t="shared" ca="1" si="11"/>
        <v>0</v>
      </c>
      <c r="K15" s="4">
        <f t="shared" ca="1" si="15"/>
        <v>0</v>
      </c>
      <c r="L15" s="4">
        <f t="shared" ca="1" si="12"/>
        <v>0</v>
      </c>
      <c r="M15" s="4">
        <f t="shared" ca="1" si="13"/>
        <v>0</v>
      </c>
      <c r="N15" s="4">
        <f t="shared" ca="1" si="1"/>
        <v>0</v>
      </c>
      <c r="O15" s="4">
        <f t="shared" ca="1" si="2"/>
        <v>0</v>
      </c>
    </row>
    <row r="16" spans="1:15">
      <c r="A16">
        <f t="shared" si="14"/>
        <v>11</v>
      </c>
      <c r="B16">
        <f t="shared" si="3"/>
        <v>11</v>
      </c>
      <c r="C16" s="3">
        <f t="shared" si="4"/>
        <v>95.911666666666662</v>
      </c>
      <c r="D16" s="4">
        <f t="shared" ca="1" si="5"/>
        <v>0</v>
      </c>
      <c r="E16" s="4">
        <f t="shared" ca="1" si="6"/>
        <v>0</v>
      </c>
      <c r="F16" s="4">
        <f t="shared" ca="1" si="7"/>
        <v>0</v>
      </c>
      <c r="G16" s="4">
        <f t="shared" ca="1" si="8"/>
        <v>0</v>
      </c>
      <c r="H16" s="4">
        <f t="shared" si="9"/>
        <v>0</v>
      </c>
      <c r="I16" s="4">
        <f t="shared" ca="1" si="10"/>
        <v>0</v>
      </c>
      <c r="J16" s="4">
        <f t="shared" ca="1" si="11"/>
        <v>0</v>
      </c>
      <c r="K16" s="4">
        <f t="shared" ca="1" si="15"/>
        <v>0</v>
      </c>
      <c r="L16" s="4">
        <f t="shared" ca="1" si="12"/>
        <v>0</v>
      </c>
      <c r="M16" s="4">
        <f t="shared" ca="1" si="13"/>
        <v>0</v>
      </c>
      <c r="N16" s="4">
        <f t="shared" ca="1" si="1"/>
        <v>0</v>
      </c>
      <c r="O16" s="4">
        <f t="shared" ca="1" si="2"/>
        <v>0</v>
      </c>
    </row>
    <row r="17" spans="1:15">
      <c r="A17">
        <f t="shared" si="14"/>
        <v>12</v>
      </c>
      <c r="B17">
        <f t="shared" si="3"/>
        <v>12</v>
      </c>
      <c r="C17" s="3">
        <f t="shared" si="4"/>
        <v>95.539999999999992</v>
      </c>
      <c r="D17" s="4">
        <f t="shared" ca="1" si="5"/>
        <v>0</v>
      </c>
      <c r="E17" s="4">
        <f t="shared" ca="1" si="6"/>
        <v>0</v>
      </c>
      <c r="F17" s="4">
        <f t="shared" ca="1" si="7"/>
        <v>0</v>
      </c>
      <c r="G17" s="4">
        <f t="shared" ca="1" si="8"/>
        <v>0</v>
      </c>
      <c r="H17" s="4">
        <f t="shared" si="9"/>
        <v>0</v>
      </c>
      <c r="I17" s="4">
        <f t="shared" ca="1" si="10"/>
        <v>0</v>
      </c>
      <c r="J17" s="4">
        <f t="shared" ca="1" si="11"/>
        <v>0</v>
      </c>
      <c r="K17" s="4">
        <f t="shared" ca="1" si="15"/>
        <v>0</v>
      </c>
      <c r="L17" s="4">
        <f t="shared" ca="1" si="12"/>
        <v>0</v>
      </c>
      <c r="M17" s="4">
        <f t="shared" ca="1" si="13"/>
        <v>0</v>
      </c>
      <c r="N17" s="4">
        <f t="shared" ca="1" si="1"/>
        <v>0</v>
      </c>
      <c r="O17" s="4">
        <f t="shared" ca="1" si="2"/>
        <v>0</v>
      </c>
    </row>
    <row r="18" spans="1:15">
      <c r="A18">
        <f t="shared" si="14"/>
        <v>13</v>
      </c>
      <c r="B18">
        <f t="shared" si="3"/>
        <v>13</v>
      </c>
      <c r="C18" s="3">
        <f t="shared" si="4"/>
        <v>95.168333333333337</v>
      </c>
      <c r="D18" s="4">
        <f t="shared" ca="1" si="5"/>
        <v>0</v>
      </c>
      <c r="E18" s="4">
        <f t="shared" ca="1" si="6"/>
        <v>0</v>
      </c>
      <c r="F18" s="4">
        <f t="shared" ca="1" si="7"/>
        <v>0</v>
      </c>
      <c r="G18" s="4">
        <f t="shared" ca="1" si="8"/>
        <v>0</v>
      </c>
      <c r="H18" s="4">
        <f t="shared" si="9"/>
        <v>0</v>
      </c>
      <c r="I18" s="4">
        <f t="shared" ca="1" si="10"/>
        <v>0</v>
      </c>
      <c r="J18" s="4">
        <f t="shared" ca="1" si="11"/>
        <v>0</v>
      </c>
      <c r="K18" s="4">
        <f t="shared" ca="1" si="15"/>
        <v>0</v>
      </c>
      <c r="L18" s="4">
        <f t="shared" ca="1" si="12"/>
        <v>0</v>
      </c>
      <c r="M18" s="4">
        <f t="shared" ca="1" si="13"/>
        <v>0</v>
      </c>
      <c r="N18" s="4">
        <f t="shared" ca="1" si="1"/>
        <v>0</v>
      </c>
      <c r="O18" s="4">
        <f t="shared" ca="1" si="2"/>
        <v>0</v>
      </c>
    </row>
    <row r="19" spans="1:15">
      <c r="A19">
        <f t="shared" si="14"/>
        <v>14</v>
      </c>
      <c r="B19">
        <f t="shared" si="3"/>
        <v>14</v>
      </c>
      <c r="C19" s="3">
        <f t="shared" si="4"/>
        <v>94.796666666666667</v>
      </c>
      <c r="D19" s="4">
        <f t="shared" ca="1" si="5"/>
        <v>0</v>
      </c>
      <c r="E19" s="4">
        <f t="shared" ca="1" si="6"/>
        <v>0</v>
      </c>
      <c r="F19" s="4">
        <f t="shared" ca="1" si="7"/>
        <v>0</v>
      </c>
      <c r="G19" s="4">
        <f t="shared" ca="1" si="8"/>
        <v>0</v>
      </c>
      <c r="H19" s="4">
        <f t="shared" si="9"/>
        <v>0</v>
      </c>
      <c r="I19" s="4">
        <f t="shared" ca="1" si="10"/>
        <v>0</v>
      </c>
      <c r="J19" s="4">
        <f t="shared" ca="1" si="11"/>
        <v>0</v>
      </c>
      <c r="K19" s="4">
        <f t="shared" ca="1" si="15"/>
        <v>0</v>
      </c>
      <c r="L19" s="4">
        <f t="shared" ca="1" si="12"/>
        <v>0</v>
      </c>
      <c r="M19" s="4">
        <f t="shared" ca="1" si="13"/>
        <v>0</v>
      </c>
      <c r="N19" s="4">
        <f t="shared" ca="1" si="1"/>
        <v>0</v>
      </c>
      <c r="O19" s="4">
        <f t="shared" ca="1" si="2"/>
        <v>0</v>
      </c>
    </row>
    <row r="20" spans="1:15">
      <c r="A20">
        <f t="shared" si="14"/>
        <v>15</v>
      </c>
      <c r="B20">
        <f t="shared" si="3"/>
        <v>15</v>
      </c>
      <c r="C20" s="3">
        <f t="shared" si="4"/>
        <v>94.424999999999997</v>
      </c>
      <c r="D20" s="4">
        <f t="shared" ca="1" si="5"/>
        <v>0</v>
      </c>
      <c r="E20" s="4">
        <f t="shared" ca="1" si="6"/>
        <v>0</v>
      </c>
      <c r="F20" s="4">
        <f t="shared" ca="1" si="7"/>
        <v>0</v>
      </c>
      <c r="G20" s="4">
        <f t="shared" ca="1" si="8"/>
        <v>0</v>
      </c>
      <c r="H20" s="4">
        <f t="shared" si="9"/>
        <v>0</v>
      </c>
      <c r="I20" s="4">
        <f t="shared" ca="1" si="10"/>
        <v>0</v>
      </c>
      <c r="J20" s="4">
        <f t="shared" ca="1" si="11"/>
        <v>0</v>
      </c>
      <c r="K20" s="4">
        <f t="shared" ca="1" si="15"/>
        <v>0</v>
      </c>
      <c r="L20" s="4">
        <f t="shared" ca="1" si="12"/>
        <v>0</v>
      </c>
      <c r="M20" s="4">
        <f t="shared" ca="1" si="13"/>
        <v>0</v>
      </c>
      <c r="N20" s="4">
        <f t="shared" ca="1" si="1"/>
        <v>0</v>
      </c>
      <c r="O20" s="4">
        <f t="shared" ca="1" si="2"/>
        <v>0</v>
      </c>
    </row>
    <row r="21" spans="1:15">
      <c r="A21">
        <f t="shared" si="14"/>
        <v>16</v>
      </c>
      <c r="B21">
        <f t="shared" si="3"/>
        <v>16</v>
      </c>
      <c r="C21" s="3">
        <f t="shared" si="4"/>
        <v>94.053333333333327</v>
      </c>
      <c r="D21" s="4">
        <f t="shared" ca="1" si="5"/>
        <v>0</v>
      </c>
      <c r="E21" s="4">
        <f t="shared" ca="1" si="6"/>
        <v>0</v>
      </c>
      <c r="F21" s="4">
        <f t="shared" ca="1" si="7"/>
        <v>0</v>
      </c>
      <c r="G21" s="4">
        <f t="shared" ca="1" si="8"/>
        <v>0</v>
      </c>
      <c r="H21" s="4">
        <f t="shared" si="9"/>
        <v>0</v>
      </c>
      <c r="I21" s="4">
        <f t="shared" ca="1" si="10"/>
        <v>0</v>
      </c>
      <c r="J21" s="4">
        <f t="shared" ca="1" si="11"/>
        <v>0</v>
      </c>
      <c r="K21" s="4">
        <f t="shared" ca="1" si="15"/>
        <v>0</v>
      </c>
      <c r="L21" s="4">
        <f t="shared" ca="1" si="12"/>
        <v>0</v>
      </c>
      <c r="M21" s="4">
        <f t="shared" ca="1" si="13"/>
        <v>0</v>
      </c>
      <c r="N21" s="4">
        <f t="shared" ca="1" si="1"/>
        <v>0</v>
      </c>
      <c r="O21" s="4">
        <f t="shared" ca="1" si="2"/>
        <v>0</v>
      </c>
    </row>
    <row r="22" spans="1:15">
      <c r="A22">
        <f t="shared" si="14"/>
        <v>17</v>
      </c>
      <c r="B22">
        <f t="shared" si="3"/>
        <v>17</v>
      </c>
      <c r="C22" s="3">
        <f t="shared" si="4"/>
        <v>93.681666666666658</v>
      </c>
      <c r="D22" s="4">
        <f t="shared" ca="1" si="5"/>
        <v>0</v>
      </c>
      <c r="E22" s="4">
        <f t="shared" ca="1" si="6"/>
        <v>0</v>
      </c>
      <c r="F22" s="4">
        <f t="shared" ca="1" si="7"/>
        <v>0</v>
      </c>
      <c r="G22" s="4">
        <f t="shared" ca="1" si="8"/>
        <v>0</v>
      </c>
      <c r="H22" s="4">
        <f t="shared" si="9"/>
        <v>0</v>
      </c>
      <c r="I22" s="4">
        <f t="shared" ca="1" si="10"/>
        <v>0</v>
      </c>
      <c r="J22" s="4">
        <f t="shared" ca="1" si="11"/>
        <v>0</v>
      </c>
      <c r="K22" s="4">
        <f t="shared" ca="1" si="15"/>
        <v>0</v>
      </c>
      <c r="L22" s="4">
        <f t="shared" ca="1" si="12"/>
        <v>0</v>
      </c>
      <c r="M22" s="4">
        <f t="shared" ca="1" si="13"/>
        <v>0</v>
      </c>
      <c r="N22" s="4">
        <f t="shared" ca="1" si="1"/>
        <v>0</v>
      </c>
      <c r="O22" s="4">
        <f t="shared" ca="1" si="2"/>
        <v>0</v>
      </c>
    </row>
    <row r="23" spans="1:15">
      <c r="A23">
        <f t="shared" si="14"/>
        <v>18</v>
      </c>
      <c r="B23">
        <f t="shared" si="3"/>
        <v>18</v>
      </c>
      <c r="C23" s="3">
        <f t="shared" si="4"/>
        <v>93.31</v>
      </c>
      <c r="D23" s="4">
        <f t="shared" ca="1" si="5"/>
        <v>0</v>
      </c>
      <c r="E23" s="4">
        <f t="shared" ca="1" si="6"/>
        <v>0</v>
      </c>
      <c r="F23" s="4">
        <f t="shared" ca="1" si="7"/>
        <v>0</v>
      </c>
      <c r="G23" s="4">
        <f t="shared" ca="1" si="8"/>
        <v>0</v>
      </c>
      <c r="H23" s="4">
        <f t="shared" si="9"/>
        <v>0</v>
      </c>
      <c r="I23" s="4">
        <f t="shared" ca="1" si="10"/>
        <v>0</v>
      </c>
      <c r="J23" s="4">
        <f t="shared" ca="1" si="11"/>
        <v>0</v>
      </c>
      <c r="K23" s="4">
        <f t="shared" ca="1" si="15"/>
        <v>0</v>
      </c>
      <c r="L23" s="4">
        <f t="shared" ca="1" si="12"/>
        <v>0</v>
      </c>
      <c r="M23" s="4">
        <f t="shared" ca="1" si="13"/>
        <v>0</v>
      </c>
      <c r="N23" s="4">
        <f t="shared" ca="1" si="1"/>
        <v>0</v>
      </c>
      <c r="O23" s="4">
        <f t="shared" ca="1" si="2"/>
        <v>0</v>
      </c>
    </row>
    <row r="24" spans="1:15">
      <c r="A24">
        <f t="shared" si="14"/>
        <v>19</v>
      </c>
      <c r="B24">
        <f t="shared" si="3"/>
        <v>19</v>
      </c>
      <c r="C24" s="3">
        <f t="shared" si="4"/>
        <v>92.938333333333333</v>
      </c>
      <c r="D24" s="4">
        <f t="shared" ca="1" si="5"/>
        <v>0</v>
      </c>
      <c r="E24" s="4">
        <f t="shared" ca="1" si="6"/>
        <v>0</v>
      </c>
      <c r="F24" s="4">
        <f t="shared" ca="1" si="7"/>
        <v>0</v>
      </c>
      <c r="G24" s="4">
        <f t="shared" ca="1" si="8"/>
        <v>0</v>
      </c>
      <c r="H24" s="4">
        <f t="shared" si="9"/>
        <v>0</v>
      </c>
      <c r="I24" s="4">
        <f t="shared" ca="1" si="10"/>
        <v>0</v>
      </c>
      <c r="J24" s="4">
        <f t="shared" ca="1" si="11"/>
        <v>0</v>
      </c>
      <c r="K24" s="4">
        <f t="shared" ca="1" si="15"/>
        <v>0</v>
      </c>
      <c r="L24" s="4">
        <f t="shared" ca="1" si="12"/>
        <v>0</v>
      </c>
      <c r="M24" s="4">
        <f t="shared" ca="1" si="13"/>
        <v>0</v>
      </c>
      <c r="N24" s="4">
        <f t="shared" ca="1" si="1"/>
        <v>0</v>
      </c>
      <c r="O24" s="4">
        <f t="shared" ca="1" si="2"/>
        <v>0</v>
      </c>
    </row>
    <row r="25" spans="1:15">
      <c r="A25">
        <f t="shared" si="14"/>
        <v>20</v>
      </c>
      <c r="B25">
        <f t="shared" si="3"/>
        <v>20</v>
      </c>
      <c r="C25" s="3">
        <f t="shared" si="4"/>
        <v>92.566666666666663</v>
      </c>
      <c r="D25" s="4">
        <f t="shared" ca="1" si="5"/>
        <v>0</v>
      </c>
      <c r="E25" s="4">
        <f t="shared" ca="1" si="6"/>
        <v>0</v>
      </c>
      <c r="F25" s="4">
        <f t="shared" ca="1" si="7"/>
        <v>0</v>
      </c>
      <c r="G25" s="4">
        <f t="shared" ca="1" si="8"/>
        <v>0</v>
      </c>
      <c r="H25" s="4">
        <f t="shared" si="9"/>
        <v>0</v>
      </c>
      <c r="I25" s="4">
        <f t="shared" ca="1" si="10"/>
        <v>0</v>
      </c>
      <c r="J25" s="4">
        <f t="shared" ca="1" si="11"/>
        <v>0</v>
      </c>
      <c r="K25" s="4">
        <f t="shared" ca="1" si="15"/>
        <v>0</v>
      </c>
      <c r="L25" s="4">
        <f t="shared" ca="1" si="12"/>
        <v>0</v>
      </c>
      <c r="M25" s="4">
        <f t="shared" ca="1" si="13"/>
        <v>0</v>
      </c>
      <c r="N25" s="4">
        <f t="shared" ca="1" si="1"/>
        <v>0</v>
      </c>
      <c r="O25" s="4">
        <f t="shared" ca="1" si="2"/>
        <v>0</v>
      </c>
    </row>
    <row r="26" spans="1:15">
      <c r="A26">
        <f t="shared" si="14"/>
        <v>21</v>
      </c>
      <c r="B26">
        <f t="shared" si="3"/>
        <v>21</v>
      </c>
      <c r="C26" s="3">
        <f t="shared" si="4"/>
        <v>92.194999999999993</v>
      </c>
      <c r="D26" s="4">
        <f t="shared" ca="1" si="5"/>
        <v>0</v>
      </c>
      <c r="E26" s="4">
        <f t="shared" ca="1" si="6"/>
        <v>0</v>
      </c>
      <c r="F26" s="4">
        <f t="shared" ca="1" si="7"/>
        <v>0</v>
      </c>
      <c r="G26" s="4">
        <f t="shared" ca="1" si="8"/>
        <v>0</v>
      </c>
      <c r="H26" s="4">
        <f t="shared" si="9"/>
        <v>0</v>
      </c>
      <c r="I26" s="4">
        <f t="shared" ca="1" si="10"/>
        <v>0</v>
      </c>
      <c r="J26" s="4">
        <f t="shared" ca="1" si="11"/>
        <v>0</v>
      </c>
      <c r="K26" s="4">
        <f t="shared" ca="1" si="15"/>
        <v>0</v>
      </c>
      <c r="L26" s="4">
        <f t="shared" ca="1" si="12"/>
        <v>0</v>
      </c>
      <c r="M26" s="4">
        <f t="shared" ca="1" si="13"/>
        <v>0</v>
      </c>
      <c r="N26" s="4">
        <f t="shared" ca="1" si="1"/>
        <v>0</v>
      </c>
      <c r="O26" s="4">
        <f t="shared" ca="1" si="2"/>
        <v>0</v>
      </c>
    </row>
    <row r="27" spans="1:15">
      <c r="A27">
        <f t="shared" si="14"/>
        <v>22</v>
      </c>
      <c r="B27">
        <f t="shared" si="3"/>
        <v>22</v>
      </c>
      <c r="C27" s="3">
        <f t="shared" si="4"/>
        <v>91.823333333333323</v>
      </c>
      <c r="D27" s="4">
        <f t="shared" ca="1" si="5"/>
        <v>0</v>
      </c>
      <c r="E27" s="4">
        <f t="shared" ca="1" si="6"/>
        <v>0</v>
      </c>
      <c r="F27" s="4">
        <f t="shared" ca="1" si="7"/>
        <v>0</v>
      </c>
      <c r="G27" s="4">
        <f t="shared" ca="1" si="8"/>
        <v>0</v>
      </c>
      <c r="H27" s="4">
        <f t="shared" si="9"/>
        <v>0</v>
      </c>
      <c r="I27" s="4">
        <f t="shared" ca="1" si="10"/>
        <v>0</v>
      </c>
      <c r="J27" s="4">
        <f t="shared" ca="1" si="11"/>
        <v>0</v>
      </c>
      <c r="K27" s="4">
        <f t="shared" ca="1" si="15"/>
        <v>0</v>
      </c>
      <c r="L27" s="4">
        <f t="shared" ca="1" si="12"/>
        <v>0</v>
      </c>
      <c r="M27" s="4">
        <f t="shared" ca="1" si="13"/>
        <v>0</v>
      </c>
      <c r="N27" s="4">
        <f t="shared" ca="1" si="1"/>
        <v>0</v>
      </c>
      <c r="O27" s="4">
        <f t="shared" ca="1" si="2"/>
        <v>0</v>
      </c>
    </row>
    <row r="28" spans="1:15">
      <c r="A28">
        <f t="shared" si="14"/>
        <v>23</v>
      </c>
      <c r="B28">
        <f t="shared" si="3"/>
        <v>23</v>
      </c>
      <c r="C28" s="3">
        <f t="shared" si="4"/>
        <v>91.451666666666668</v>
      </c>
      <c r="D28" s="4">
        <f t="shared" ca="1" si="5"/>
        <v>0</v>
      </c>
      <c r="E28" s="4">
        <f t="shared" ca="1" si="6"/>
        <v>0</v>
      </c>
      <c r="F28" s="4">
        <f t="shared" ca="1" si="7"/>
        <v>0</v>
      </c>
      <c r="G28" s="4">
        <f t="shared" ca="1" si="8"/>
        <v>0</v>
      </c>
      <c r="H28" s="4">
        <f t="shared" si="9"/>
        <v>0</v>
      </c>
      <c r="I28" s="4">
        <f t="shared" ca="1" si="10"/>
        <v>0</v>
      </c>
      <c r="J28" s="4">
        <f t="shared" ca="1" si="11"/>
        <v>0</v>
      </c>
      <c r="K28" s="4">
        <f t="shared" ca="1" si="15"/>
        <v>0</v>
      </c>
      <c r="L28" s="4">
        <f t="shared" ca="1" si="12"/>
        <v>0</v>
      </c>
      <c r="M28" s="4">
        <f t="shared" ca="1" si="13"/>
        <v>0</v>
      </c>
      <c r="N28" s="4">
        <f t="shared" ca="1" si="1"/>
        <v>0</v>
      </c>
      <c r="O28" s="4">
        <f t="shared" ca="1" si="2"/>
        <v>0</v>
      </c>
    </row>
    <row r="29" spans="1:15">
      <c r="A29">
        <f t="shared" si="14"/>
        <v>24</v>
      </c>
      <c r="B29">
        <f t="shared" si="3"/>
        <v>24</v>
      </c>
      <c r="C29" s="3">
        <f t="shared" si="4"/>
        <v>91.08</v>
      </c>
      <c r="D29" s="4">
        <f t="shared" ca="1" si="5"/>
        <v>0</v>
      </c>
      <c r="E29" s="4">
        <f t="shared" ca="1" si="6"/>
        <v>0</v>
      </c>
      <c r="F29" s="4">
        <f t="shared" ca="1" si="7"/>
        <v>0</v>
      </c>
      <c r="G29" s="4">
        <f t="shared" ca="1" si="8"/>
        <v>0</v>
      </c>
      <c r="H29" s="4">
        <f t="shared" si="9"/>
        <v>0</v>
      </c>
      <c r="I29" s="4">
        <f t="shared" ca="1" si="10"/>
        <v>0</v>
      </c>
      <c r="J29" s="4">
        <f t="shared" ca="1" si="11"/>
        <v>0</v>
      </c>
      <c r="K29" s="4">
        <f t="shared" ca="1" si="15"/>
        <v>0</v>
      </c>
      <c r="L29" s="4">
        <f t="shared" ca="1" si="12"/>
        <v>0</v>
      </c>
      <c r="M29" s="4">
        <f t="shared" ca="1" si="13"/>
        <v>0</v>
      </c>
      <c r="N29" s="4">
        <f t="shared" ca="1" si="1"/>
        <v>0</v>
      </c>
      <c r="O29" s="4">
        <f t="shared" ca="1" si="2"/>
        <v>0</v>
      </c>
    </row>
    <row r="30" spans="1:15">
      <c r="A30">
        <f t="shared" si="14"/>
        <v>25</v>
      </c>
      <c r="B30">
        <f t="shared" si="3"/>
        <v>25</v>
      </c>
      <c r="C30" s="3">
        <f t="shared" si="4"/>
        <v>90.708333333333329</v>
      </c>
      <c r="D30" s="4">
        <f t="shared" ca="1" si="5"/>
        <v>0</v>
      </c>
      <c r="E30" s="4">
        <f t="shared" ca="1" si="6"/>
        <v>0</v>
      </c>
      <c r="F30" s="4">
        <f t="shared" ca="1" si="7"/>
        <v>0</v>
      </c>
      <c r="G30" s="4">
        <f t="shared" ca="1" si="8"/>
        <v>0</v>
      </c>
      <c r="H30" s="4">
        <f t="shared" si="9"/>
        <v>0</v>
      </c>
      <c r="I30" s="4">
        <f t="shared" ca="1" si="10"/>
        <v>0</v>
      </c>
      <c r="J30" s="4">
        <f t="shared" ca="1" si="11"/>
        <v>0</v>
      </c>
      <c r="K30" s="4">
        <f t="shared" ca="1" si="15"/>
        <v>0</v>
      </c>
      <c r="L30" s="4">
        <f t="shared" ca="1" si="12"/>
        <v>0</v>
      </c>
      <c r="M30" s="4">
        <f t="shared" ca="1" si="13"/>
        <v>0</v>
      </c>
      <c r="N30" s="4">
        <f t="shared" ca="1" si="1"/>
        <v>0</v>
      </c>
      <c r="O30" s="4">
        <f t="shared" ca="1" si="2"/>
        <v>0</v>
      </c>
    </row>
    <row r="31" spans="1:15">
      <c r="A31">
        <f t="shared" si="14"/>
        <v>26</v>
      </c>
      <c r="B31">
        <f t="shared" si="3"/>
        <v>26</v>
      </c>
      <c r="C31" s="3">
        <f t="shared" si="4"/>
        <v>90.336666666666659</v>
      </c>
      <c r="D31" s="4">
        <f t="shared" ca="1" si="5"/>
        <v>0</v>
      </c>
      <c r="E31" s="4">
        <f t="shared" ca="1" si="6"/>
        <v>0</v>
      </c>
      <c r="F31" s="4">
        <f t="shared" ca="1" si="7"/>
        <v>0</v>
      </c>
      <c r="G31" s="4">
        <f t="shared" ca="1" si="8"/>
        <v>0</v>
      </c>
      <c r="H31" s="4">
        <f t="shared" si="9"/>
        <v>0</v>
      </c>
      <c r="I31" s="4">
        <f t="shared" ca="1" si="10"/>
        <v>0</v>
      </c>
      <c r="J31" s="4">
        <f t="shared" ca="1" si="11"/>
        <v>0</v>
      </c>
      <c r="K31" s="4">
        <f t="shared" ca="1" si="15"/>
        <v>0</v>
      </c>
      <c r="L31" s="4">
        <f t="shared" ca="1" si="12"/>
        <v>0</v>
      </c>
      <c r="M31" s="4">
        <f t="shared" ca="1" si="13"/>
        <v>0</v>
      </c>
      <c r="N31" s="4">
        <f t="shared" ca="1" si="1"/>
        <v>0</v>
      </c>
      <c r="O31" s="4">
        <f t="shared" ca="1" si="2"/>
        <v>0</v>
      </c>
    </row>
    <row r="32" spans="1:15">
      <c r="A32">
        <f t="shared" si="14"/>
        <v>27</v>
      </c>
      <c r="B32">
        <f t="shared" si="3"/>
        <v>27</v>
      </c>
      <c r="C32" s="3">
        <f t="shared" si="4"/>
        <v>89.964999999999989</v>
      </c>
      <c r="D32" s="4">
        <f t="shared" ca="1" si="5"/>
        <v>0</v>
      </c>
      <c r="E32" s="4">
        <f t="shared" ca="1" si="6"/>
        <v>0</v>
      </c>
      <c r="F32" s="4">
        <f t="shared" ca="1" si="7"/>
        <v>0</v>
      </c>
      <c r="G32" s="4">
        <f t="shared" ca="1" si="8"/>
        <v>0</v>
      </c>
      <c r="H32" s="4">
        <f t="shared" si="9"/>
        <v>0</v>
      </c>
      <c r="I32" s="4">
        <f t="shared" ca="1" si="10"/>
        <v>0</v>
      </c>
      <c r="J32" s="4">
        <f t="shared" ca="1" si="11"/>
        <v>0</v>
      </c>
      <c r="K32" s="4">
        <f t="shared" ca="1" si="15"/>
        <v>0</v>
      </c>
      <c r="L32" s="4">
        <f t="shared" ca="1" si="12"/>
        <v>0</v>
      </c>
      <c r="M32" s="4">
        <f t="shared" ca="1" si="13"/>
        <v>0</v>
      </c>
      <c r="N32" s="4">
        <f t="shared" ca="1" si="1"/>
        <v>0</v>
      </c>
      <c r="O32" s="4">
        <f t="shared" ca="1" si="2"/>
        <v>0</v>
      </c>
    </row>
    <row r="33" spans="1:15">
      <c r="A33">
        <f t="shared" si="14"/>
        <v>28</v>
      </c>
      <c r="B33">
        <f t="shared" si="3"/>
        <v>28</v>
      </c>
      <c r="C33" s="3">
        <f t="shared" si="4"/>
        <v>89.593333333333334</v>
      </c>
      <c r="D33" s="4">
        <f t="shared" ca="1" si="5"/>
        <v>0</v>
      </c>
      <c r="E33" s="4">
        <f t="shared" ca="1" si="6"/>
        <v>0</v>
      </c>
      <c r="F33" s="4">
        <f t="shared" ca="1" si="7"/>
        <v>0</v>
      </c>
      <c r="G33" s="4">
        <f t="shared" ca="1" si="8"/>
        <v>0</v>
      </c>
      <c r="H33" s="4">
        <f t="shared" si="9"/>
        <v>0</v>
      </c>
      <c r="I33" s="4">
        <f t="shared" ca="1" si="10"/>
        <v>0</v>
      </c>
      <c r="J33" s="4">
        <f t="shared" ca="1" si="11"/>
        <v>0</v>
      </c>
      <c r="K33" s="4">
        <f t="shared" ca="1" si="15"/>
        <v>0</v>
      </c>
      <c r="L33" s="4">
        <f t="shared" ca="1" si="12"/>
        <v>0</v>
      </c>
      <c r="M33" s="4">
        <f t="shared" ca="1" si="13"/>
        <v>0</v>
      </c>
      <c r="N33" s="4">
        <f t="shared" ca="1" si="1"/>
        <v>0</v>
      </c>
      <c r="O33" s="4">
        <f t="shared" ca="1" si="2"/>
        <v>0</v>
      </c>
    </row>
    <row r="34" spans="1:15">
      <c r="A34">
        <f t="shared" si="14"/>
        <v>29</v>
      </c>
      <c r="B34">
        <f t="shared" si="3"/>
        <v>29</v>
      </c>
      <c r="C34" s="3">
        <f t="shared" si="4"/>
        <v>89.221666666666664</v>
      </c>
      <c r="D34" s="4">
        <f t="shared" ca="1" si="5"/>
        <v>0</v>
      </c>
      <c r="E34" s="4">
        <f t="shared" ca="1" si="6"/>
        <v>0</v>
      </c>
      <c r="F34" s="4">
        <f t="shared" ca="1" si="7"/>
        <v>0</v>
      </c>
      <c r="G34" s="4">
        <f t="shared" ca="1" si="8"/>
        <v>0</v>
      </c>
      <c r="H34" s="4">
        <f t="shared" si="9"/>
        <v>0</v>
      </c>
      <c r="I34" s="4">
        <f t="shared" ca="1" si="10"/>
        <v>0</v>
      </c>
      <c r="J34" s="4">
        <f t="shared" ca="1" si="11"/>
        <v>0</v>
      </c>
      <c r="K34" s="4">
        <f t="shared" ca="1" si="15"/>
        <v>0</v>
      </c>
      <c r="L34" s="4">
        <f t="shared" ca="1" si="12"/>
        <v>0</v>
      </c>
      <c r="M34" s="4">
        <f t="shared" ca="1" si="13"/>
        <v>0</v>
      </c>
      <c r="N34" s="4">
        <f t="shared" ca="1" si="1"/>
        <v>0</v>
      </c>
      <c r="O34" s="4">
        <f t="shared" ca="1" si="2"/>
        <v>0</v>
      </c>
    </row>
    <row r="35" spans="1:15">
      <c r="A35">
        <f t="shared" si="14"/>
        <v>30</v>
      </c>
      <c r="B35">
        <f t="shared" si="3"/>
        <v>30</v>
      </c>
      <c r="C35" s="3">
        <f t="shared" si="4"/>
        <v>88.85</v>
      </c>
      <c r="D35" s="4">
        <f t="shared" ca="1" si="5"/>
        <v>0</v>
      </c>
      <c r="E35" s="4">
        <f t="shared" ca="1" si="6"/>
        <v>0</v>
      </c>
      <c r="F35" s="4">
        <f t="shared" ca="1" si="7"/>
        <v>0</v>
      </c>
      <c r="G35" s="4">
        <f t="shared" ca="1" si="8"/>
        <v>0</v>
      </c>
      <c r="H35" s="4">
        <f t="shared" si="9"/>
        <v>0</v>
      </c>
      <c r="I35" s="4">
        <f t="shared" ca="1" si="10"/>
        <v>0</v>
      </c>
      <c r="J35" s="4">
        <f t="shared" ca="1" si="11"/>
        <v>0</v>
      </c>
      <c r="K35" s="4">
        <f t="shared" ca="1" si="15"/>
        <v>0</v>
      </c>
      <c r="L35" s="4">
        <f t="shared" ca="1" si="12"/>
        <v>0</v>
      </c>
      <c r="M35" s="4">
        <f t="shared" ca="1" si="13"/>
        <v>0</v>
      </c>
      <c r="N35" s="4">
        <f t="shared" ca="1" si="1"/>
        <v>0</v>
      </c>
      <c r="O35" s="4">
        <f t="shared" ca="1" si="2"/>
        <v>0</v>
      </c>
    </row>
    <row r="36" spans="1:15">
      <c r="A36">
        <f t="shared" si="14"/>
        <v>31</v>
      </c>
      <c r="B36" t="str">
        <f t="shared" si="3"/>
        <v/>
      </c>
      <c r="C36" s="3">
        <f t="shared" si="4"/>
        <v>0</v>
      </c>
      <c r="D36" s="4">
        <f t="shared" ca="1" si="5"/>
        <v>0</v>
      </c>
      <c r="E36" s="4">
        <f t="shared" ca="1" si="6"/>
        <v>0</v>
      </c>
      <c r="F36" s="4">
        <f t="shared" ca="1" si="7"/>
        <v>0</v>
      </c>
      <c r="G36" s="4">
        <f t="shared" ca="1" si="8"/>
        <v>0</v>
      </c>
      <c r="H36" s="4">
        <f t="shared" si="9"/>
        <v>0</v>
      </c>
      <c r="I36" s="4">
        <f t="shared" ca="1" si="10"/>
        <v>0</v>
      </c>
      <c r="J36" s="4">
        <f t="shared" ca="1" si="11"/>
        <v>0</v>
      </c>
      <c r="K36" s="4">
        <f t="shared" ca="1" si="15"/>
        <v>0</v>
      </c>
      <c r="L36" s="4">
        <f t="shared" ca="1" si="12"/>
        <v>0</v>
      </c>
      <c r="M36" s="4">
        <f t="shared" ca="1" si="13"/>
        <v>0</v>
      </c>
      <c r="N36" s="4" t="str">
        <f t="shared" ref="N36:N99" si="16">IF(ISNUMBER(B36),IF(L36&lt;0,L36,0),"")</f>
        <v/>
      </c>
      <c r="O36" s="4" t="str">
        <f t="shared" ref="O36:O99" si="17">IF(ISNUMBER(B36),IF(L36&gt;0,L36,0),"")</f>
        <v/>
      </c>
    </row>
    <row r="37" spans="1:15">
      <c r="A37">
        <f t="shared" si="14"/>
        <v>32</v>
      </c>
      <c r="B37" t="str">
        <f t="shared" si="3"/>
        <v/>
      </c>
      <c r="C37" s="3">
        <f t="shared" si="4"/>
        <v>0</v>
      </c>
      <c r="D37" s="4">
        <f t="shared" ca="1" si="5"/>
        <v>0</v>
      </c>
      <c r="E37" s="4">
        <f t="shared" ca="1" si="6"/>
        <v>0</v>
      </c>
      <c r="F37" s="4">
        <f t="shared" ca="1" si="7"/>
        <v>0</v>
      </c>
      <c r="G37" s="4">
        <f t="shared" ca="1" si="8"/>
        <v>0</v>
      </c>
      <c r="H37" s="4">
        <f t="shared" si="9"/>
        <v>0</v>
      </c>
      <c r="I37" s="4">
        <f t="shared" ca="1" si="10"/>
        <v>0</v>
      </c>
      <c r="J37" s="4">
        <f t="shared" ca="1" si="11"/>
        <v>0</v>
      </c>
      <c r="K37" s="4">
        <f t="shared" ca="1" si="15"/>
        <v>0</v>
      </c>
      <c r="L37" s="4">
        <f t="shared" ca="1" si="12"/>
        <v>0</v>
      </c>
      <c r="M37" s="4">
        <f t="shared" ca="1" si="13"/>
        <v>0</v>
      </c>
      <c r="N37" s="4" t="str">
        <f t="shared" si="16"/>
        <v/>
      </c>
      <c r="O37" s="4" t="str">
        <f t="shared" si="17"/>
        <v/>
      </c>
    </row>
    <row r="38" spans="1:15">
      <c r="A38">
        <f t="shared" si="14"/>
        <v>33</v>
      </c>
      <c r="B38" t="str">
        <f t="shared" si="3"/>
        <v/>
      </c>
      <c r="C38" s="3">
        <f t="shared" ref="C38:C69" si="18">IF(ISNUMBER(B38),$C$5-B38*_Degradation_pro_Jahr_Standard,0)</f>
        <v>0</v>
      </c>
      <c r="D38" s="4">
        <f t="shared" ref="D38:D69" ca="1" si="19">_Ertrag_Ges.Min*C38/100</f>
        <v>0</v>
      </c>
      <c r="E38" s="4">
        <f t="shared" ref="E38:E69" ca="1" si="20">D38*_ENG_Rechenwert/100</f>
        <v>0</v>
      </c>
      <c r="F38" s="4">
        <f t="shared" ref="F38:F69" ca="1" si="21">(D38-E38)*_Tarif_Rücklieferung/100</f>
        <v>0</v>
      </c>
      <c r="G38" s="4">
        <f t="shared" ref="G38:G69" ca="1" si="22">E38*_Tarif_Bezug/100</f>
        <v>0</v>
      </c>
      <c r="H38" s="4">
        <f t="shared" ref="H38:H69" si="23">IF(_EIV_t=B38,-_EIV_Ges.Min_Rechenwert,0)+IF(_EF_t=B38,-_EF_Ges.Min_Rechenwert,0)</f>
        <v>0</v>
      </c>
      <c r="I38" s="4">
        <f t="shared" ref="I38:I69" ca="1" si="24">-D38*_Tarif_Unterhalt_Rechenwert/100</f>
        <v>0</v>
      </c>
      <c r="J38" s="4">
        <f t="shared" ref="J38:J69" ca="1" si="25">IF(L37&lt;0,L37*_Kap_Verzinsung/100,0)</f>
        <v>0</v>
      </c>
      <c r="K38" s="4">
        <f t="shared" ref="K38:K69" ca="1" si="26">SUM(F38:J38)</f>
        <v>0</v>
      </c>
      <c r="L38" s="4">
        <f t="shared" ref="L38:L69" ca="1" si="27">L37+K38</f>
        <v>0</v>
      </c>
      <c r="M38" s="4">
        <f t="shared" ref="M38:M69" ca="1" si="28">IF(AND(L37&lt;0,L38&gt;=0),B38,0)</f>
        <v>0</v>
      </c>
      <c r="N38" s="4" t="str">
        <f t="shared" si="16"/>
        <v/>
      </c>
      <c r="O38" s="4" t="str">
        <f t="shared" si="17"/>
        <v/>
      </c>
    </row>
    <row r="39" spans="1:15">
      <c r="A39">
        <f t="shared" si="14"/>
        <v>34</v>
      </c>
      <c r="B39" t="str">
        <f t="shared" si="3"/>
        <v/>
      </c>
      <c r="C39" s="3">
        <f t="shared" si="18"/>
        <v>0</v>
      </c>
      <c r="D39" s="4">
        <f t="shared" ca="1" si="19"/>
        <v>0</v>
      </c>
      <c r="E39" s="4">
        <f t="shared" ca="1" si="20"/>
        <v>0</v>
      </c>
      <c r="F39" s="4">
        <f t="shared" ca="1" si="21"/>
        <v>0</v>
      </c>
      <c r="G39" s="4">
        <f t="shared" ca="1" si="22"/>
        <v>0</v>
      </c>
      <c r="H39" s="4">
        <f t="shared" si="23"/>
        <v>0</v>
      </c>
      <c r="I39" s="4">
        <f t="shared" ca="1" si="24"/>
        <v>0</v>
      </c>
      <c r="J39" s="4">
        <f t="shared" ca="1" si="25"/>
        <v>0</v>
      </c>
      <c r="K39" s="4">
        <f t="shared" ca="1" si="26"/>
        <v>0</v>
      </c>
      <c r="L39" s="4">
        <f t="shared" ca="1" si="27"/>
        <v>0</v>
      </c>
      <c r="M39" s="4">
        <f t="shared" ca="1" si="28"/>
        <v>0</v>
      </c>
      <c r="N39" s="4" t="str">
        <f t="shared" si="16"/>
        <v/>
      </c>
      <c r="O39" s="4" t="str">
        <f t="shared" si="17"/>
        <v/>
      </c>
    </row>
    <row r="40" spans="1:15">
      <c r="A40">
        <f t="shared" si="14"/>
        <v>35</v>
      </c>
      <c r="B40" t="str">
        <f t="shared" si="3"/>
        <v/>
      </c>
      <c r="C40" s="3">
        <f t="shared" si="18"/>
        <v>0</v>
      </c>
      <c r="D40" s="4">
        <f t="shared" ca="1" si="19"/>
        <v>0</v>
      </c>
      <c r="E40" s="4">
        <f t="shared" ca="1" si="20"/>
        <v>0</v>
      </c>
      <c r="F40" s="4">
        <f t="shared" ca="1" si="21"/>
        <v>0</v>
      </c>
      <c r="G40" s="4">
        <f t="shared" ca="1" si="22"/>
        <v>0</v>
      </c>
      <c r="H40" s="4">
        <f t="shared" si="23"/>
        <v>0</v>
      </c>
      <c r="I40" s="4">
        <f t="shared" ca="1" si="24"/>
        <v>0</v>
      </c>
      <c r="J40" s="4">
        <f t="shared" ca="1" si="25"/>
        <v>0</v>
      </c>
      <c r="K40" s="4">
        <f t="shared" ca="1" si="26"/>
        <v>0</v>
      </c>
      <c r="L40" s="4">
        <f t="shared" ca="1" si="27"/>
        <v>0</v>
      </c>
      <c r="M40" s="4">
        <f t="shared" ca="1" si="28"/>
        <v>0</v>
      </c>
      <c r="N40" s="4" t="str">
        <f t="shared" si="16"/>
        <v/>
      </c>
      <c r="O40" s="4" t="str">
        <f t="shared" si="17"/>
        <v/>
      </c>
    </row>
    <row r="41" spans="1:15">
      <c r="A41">
        <f t="shared" si="14"/>
        <v>36</v>
      </c>
      <c r="B41" t="str">
        <f t="shared" si="3"/>
        <v/>
      </c>
      <c r="C41" s="3">
        <f t="shared" si="18"/>
        <v>0</v>
      </c>
      <c r="D41" s="4">
        <f t="shared" ca="1" si="19"/>
        <v>0</v>
      </c>
      <c r="E41" s="4">
        <f t="shared" ca="1" si="20"/>
        <v>0</v>
      </c>
      <c r="F41" s="4">
        <f t="shared" ca="1" si="21"/>
        <v>0</v>
      </c>
      <c r="G41" s="4">
        <f t="shared" ca="1" si="22"/>
        <v>0</v>
      </c>
      <c r="H41" s="4">
        <f t="shared" si="23"/>
        <v>0</v>
      </c>
      <c r="I41" s="4">
        <f t="shared" ca="1" si="24"/>
        <v>0</v>
      </c>
      <c r="J41" s="4">
        <f t="shared" ca="1" si="25"/>
        <v>0</v>
      </c>
      <c r="K41" s="4">
        <f t="shared" ca="1" si="26"/>
        <v>0</v>
      </c>
      <c r="L41" s="4">
        <f t="shared" ca="1" si="27"/>
        <v>0</v>
      </c>
      <c r="M41" s="4">
        <f t="shared" ca="1" si="28"/>
        <v>0</v>
      </c>
      <c r="N41" s="4" t="str">
        <f t="shared" si="16"/>
        <v/>
      </c>
      <c r="O41" s="4" t="str">
        <f t="shared" si="17"/>
        <v/>
      </c>
    </row>
    <row r="42" spans="1:15">
      <c r="A42">
        <f t="shared" si="14"/>
        <v>37</v>
      </c>
      <c r="B42" t="str">
        <f t="shared" si="3"/>
        <v/>
      </c>
      <c r="C42" s="3">
        <f t="shared" si="18"/>
        <v>0</v>
      </c>
      <c r="D42" s="4">
        <f t="shared" ca="1" si="19"/>
        <v>0</v>
      </c>
      <c r="E42" s="4">
        <f t="shared" ca="1" si="20"/>
        <v>0</v>
      </c>
      <c r="F42" s="4">
        <f t="shared" ca="1" si="21"/>
        <v>0</v>
      </c>
      <c r="G42" s="4">
        <f t="shared" ca="1" si="22"/>
        <v>0</v>
      </c>
      <c r="H42" s="4">
        <f t="shared" si="23"/>
        <v>0</v>
      </c>
      <c r="I42" s="4">
        <f t="shared" ca="1" si="24"/>
        <v>0</v>
      </c>
      <c r="J42" s="4">
        <f t="shared" ca="1" si="25"/>
        <v>0</v>
      </c>
      <c r="K42" s="4">
        <f t="shared" ca="1" si="26"/>
        <v>0</v>
      </c>
      <c r="L42" s="4">
        <f t="shared" ca="1" si="27"/>
        <v>0</v>
      </c>
      <c r="M42" s="4">
        <f t="shared" ca="1" si="28"/>
        <v>0</v>
      </c>
      <c r="N42" s="4" t="str">
        <f t="shared" si="16"/>
        <v/>
      </c>
      <c r="O42" s="4" t="str">
        <f t="shared" si="17"/>
        <v/>
      </c>
    </row>
    <row r="43" spans="1:15">
      <c r="A43">
        <f t="shared" si="14"/>
        <v>38</v>
      </c>
      <c r="B43" t="str">
        <f t="shared" si="3"/>
        <v/>
      </c>
      <c r="C43" s="3">
        <f t="shared" si="18"/>
        <v>0</v>
      </c>
      <c r="D43" s="4">
        <f t="shared" ca="1" si="19"/>
        <v>0</v>
      </c>
      <c r="E43" s="4">
        <f t="shared" ca="1" si="20"/>
        <v>0</v>
      </c>
      <c r="F43" s="4">
        <f t="shared" ca="1" si="21"/>
        <v>0</v>
      </c>
      <c r="G43" s="4">
        <f t="shared" ca="1" si="22"/>
        <v>0</v>
      </c>
      <c r="H43" s="4">
        <f t="shared" si="23"/>
        <v>0</v>
      </c>
      <c r="I43" s="4">
        <f t="shared" ca="1" si="24"/>
        <v>0</v>
      </c>
      <c r="J43" s="4">
        <f t="shared" ca="1" si="25"/>
        <v>0</v>
      </c>
      <c r="K43" s="4">
        <f t="shared" ca="1" si="26"/>
        <v>0</v>
      </c>
      <c r="L43" s="4">
        <f t="shared" ca="1" si="27"/>
        <v>0</v>
      </c>
      <c r="M43" s="4">
        <f t="shared" ca="1" si="28"/>
        <v>0</v>
      </c>
      <c r="N43" s="4" t="str">
        <f t="shared" si="16"/>
        <v/>
      </c>
      <c r="O43" s="4" t="str">
        <f t="shared" si="17"/>
        <v/>
      </c>
    </row>
    <row r="44" spans="1:15">
      <c r="A44">
        <f t="shared" si="14"/>
        <v>39</v>
      </c>
      <c r="B44" t="str">
        <f t="shared" si="3"/>
        <v/>
      </c>
      <c r="C44" s="3">
        <f t="shared" si="18"/>
        <v>0</v>
      </c>
      <c r="D44" s="4">
        <f t="shared" ca="1" si="19"/>
        <v>0</v>
      </c>
      <c r="E44" s="4">
        <f t="shared" ca="1" si="20"/>
        <v>0</v>
      </c>
      <c r="F44" s="4">
        <f t="shared" ca="1" si="21"/>
        <v>0</v>
      </c>
      <c r="G44" s="4">
        <f t="shared" ca="1" si="22"/>
        <v>0</v>
      </c>
      <c r="H44" s="4">
        <f t="shared" si="23"/>
        <v>0</v>
      </c>
      <c r="I44" s="4">
        <f t="shared" ca="1" si="24"/>
        <v>0</v>
      </c>
      <c r="J44" s="4">
        <f t="shared" ca="1" si="25"/>
        <v>0</v>
      </c>
      <c r="K44" s="4">
        <f t="shared" ca="1" si="26"/>
        <v>0</v>
      </c>
      <c r="L44" s="4">
        <f t="shared" ca="1" si="27"/>
        <v>0</v>
      </c>
      <c r="M44" s="4">
        <f t="shared" ca="1" si="28"/>
        <v>0</v>
      </c>
      <c r="N44" s="4" t="str">
        <f t="shared" si="16"/>
        <v/>
      </c>
      <c r="O44" s="4" t="str">
        <f t="shared" si="17"/>
        <v/>
      </c>
    </row>
    <row r="45" spans="1:15">
      <c r="A45">
        <f t="shared" si="14"/>
        <v>40</v>
      </c>
      <c r="B45" t="str">
        <f t="shared" si="3"/>
        <v/>
      </c>
      <c r="C45" s="3">
        <f t="shared" si="18"/>
        <v>0</v>
      </c>
      <c r="D45" s="4">
        <f t="shared" ca="1" si="19"/>
        <v>0</v>
      </c>
      <c r="E45" s="4">
        <f t="shared" ca="1" si="20"/>
        <v>0</v>
      </c>
      <c r="F45" s="4">
        <f t="shared" ca="1" si="21"/>
        <v>0</v>
      </c>
      <c r="G45" s="4">
        <f t="shared" ca="1" si="22"/>
        <v>0</v>
      </c>
      <c r="H45" s="4">
        <f t="shared" si="23"/>
        <v>0</v>
      </c>
      <c r="I45" s="4">
        <f t="shared" ca="1" si="24"/>
        <v>0</v>
      </c>
      <c r="J45" s="4">
        <f t="shared" ca="1" si="25"/>
        <v>0</v>
      </c>
      <c r="K45" s="4">
        <f t="shared" ca="1" si="26"/>
        <v>0</v>
      </c>
      <c r="L45" s="4">
        <f t="shared" ca="1" si="27"/>
        <v>0</v>
      </c>
      <c r="M45" s="4">
        <f t="shared" ca="1" si="28"/>
        <v>0</v>
      </c>
      <c r="N45" s="4" t="str">
        <f t="shared" si="16"/>
        <v/>
      </c>
      <c r="O45" s="4" t="str">
        <f t="shared" si="17"/>
        <v/>
      </c>
    </row>
    <row r="46" spans="1:15">
      <c r="A46">
        <f t="shared" si="14"/>
        <v>41</v>
      </c>
      <c r="B46" t="str">
        <f t="shared" si="3"/>
        <v/>
      </c>
      <c r="C46" s="3">
        <f t="shared" si="18"/>
        <v>0</v>
      </c>
      <c r="D46" s="4">
        <f t="shared" ca="1" si="19"/>
        <v>0</v>
      </c>
      <c r="E46" s="4">
        <f t="shared" ca="1" si="20"/>
        <v>0</v>
      </c>
      <c r="F46" s="4">
        <f t="shared" ca="1" si="21"/>
        <v>0</v>
      </c>
      <c r="G46" s="4">
        <f t="shared" ca="1" si="22"/>
        <v>0</v>
      </c>
      <c r="H46" s="4">
        <f t="shared" si="23"/>
        <v>0</v>
      </c>
      <c r="I46" s="4">
        <f t="shared" ca="1" si="24"/>
        <v>0</v>
      </c>
      <c r="J46" s="4">
        <f t="shared" ca="1" si="25"/>
        <v>0</v>
      </c>
      <c r="K46" s="4">
        <f t="shared" ca="1" si="26"/>
        <v>0</v>
      </c>
      <c r="L46" s="4">
        <f t="shared" ca="1" si="27"/>
        <v>0</v>
      </c>
      <c r="M46" s="4">
        <f t="shared" ca="1" si="28"/>
        <v>0</v>
      </c>
      <c r="N46" s="4" t="str">
        <f t="shared" si="16"/>
        <v/>
      </c>
      <c r="O46" s="4" t="str">
        <f t="shared" si="17"/>
        <v/>
      </c>
    </row>
    <row r="47" spans="1:15">
      <c r="A47">
        <f t="shared" si="14"/>
        <v>42</v>
      </c>
      <c r="B47" t="str">
        <f t="shared" si="3"/>
        <v/>
      </c>
      <c r="C47" s="3">
        <f t="shared" si="18"/>
        <v>0</v>
      </c>
      <c r="D47" s="4">
        <f t="shared" ca="1" si="19"/>
        <v>0</v>
      </c>
      <c r="E47" s="4">
        <f t="shared" ca="1" si="20"/>
        <v>0</v>
      </c>
      <c r="F47" s="4">
        <f t="shared" ca="1" si="21"/>
        <v>0</v>
      </c>
      <c r="G47" s="4">
        <f t="shared" ca="1" si="22"/>
        <v>0</v>
      </c>
      <c r="H47" s="4">
        <f t="shared" si="23"/>
        <v>0</v>
      </c>
      <c r="I47" s="4">
        <f t="shared" ca="1" si="24"/>
        <v>0</v>
      </c>
      <c r="J47" s="4">
        <f t="shared" ca="1" si="25"/>
        <v>0</v>
      </c>
      <c r="K47" s="4">
        <f t="shared" ca="1" si="26"/>
        <v>0</v>
      </c>
      <c r="L47" s="4">
        <f t="shared" ca="1" si="27"/>
        <v>0</v>
      </c>
      <c r="M47" s="4">
        <f t="shared" ca="1" si="28"/>
        <v>0</v>
      </c>
      <c r="N47" s="4" t="str">
        <f t="shared" si="16"/>
        <v/>
      </c>
      <c r="O47" s="4" t="str">
        <f t="shared" si="17"/>
        <v/>
      </c>
    </row>
    <row r="48" spans="1:15">
      <c r="A48">
        <f t="shared" si="14"/>
        <v>43</v>
      </c>
      <c r="B48" t="str">
        <f t="shared" si="3"/>
        <v/>
      </c>
      <c r="C48" s="3">
        <f t="shared" si="18"/>
        <v>0</v>
      </c>
      <c r="D48" s="4">
        <f t="shared" ca="1" si="19"/>
        <v>0</v>
      </c>
      <c r="E48" s="4">
        <f t="shared" ca="1" si="20"/>
        <v>0</v>
      </c>
      <c r="F48" s="4">
        <f t="shared" ca="1" si="21"/>
        <v>0</v>
      </c>
      <c r="G48" s="4">
        <f t="shared" ca="1" si="22"/>
        <v>0</v>
      </c>
      <c r="H48" s="4">
        <f t="shared" si="23"/>
        <v>0</v>
      </c>
      <c r="I48" s="4">
        <f t="shared" ca="1" si="24"/>
        <v>0</v>
      </c>
      <c r="J48" s="4">
        <f t="shared" ca="1" si="25"/>
        <v>0</v>
      </c>
      <c r="K48" s="4">
        <f t="shared" ca="1" si="26"/>
        <v>0</v>
      </c>
      <c r="L48" s="4">
        <f t="shared" ca="1" si="27"/>
        <v>0</v>
      </c>
      <c r="M48" s="4">
        <f t="shared" ca="1" si="28"/>
        <v>0</v>
      </c>
      <c r="N48" s="4" t="str">
        <f t="shared" si="16"/>
        <v/>
      </c>
      <c r="O48" s="4" t="str">
        <f t="shared" si="17"/>
        <v/>
      </c>
    </row>
    <row r="49" spans="1:15">
      <c r="A49">
        <f t="shared" si="14"/>
        <v>44</v>
      </c>
      <c r="B49" t="str">
        <f t="shared" si="3"/>
        <v/>
      </c>
      <c r="C49" s="3">
        <f t="shared" si="18"/>
        <v>0</v>
      </c>
      <c r="D49" s="4">
        <f t="shared" ca="1" si="19"/>
        <v>0</v>
      </c>
      <c r="E49" s="4">
        <f t="shared" ca="1" si="20"/>
        <v>0</v>
      </c>
      <c r="F49" s="4">
        <f t="shared" ca="1" si="21"/>
        <v>0</v>
      </c>
      <c r="G49" s="4">
        <f t="shared" ca="1" si="22"/>
        <v>0</v>
      </c>
      <c r="H49" s="4">
        <f t="shared" si="23"/>
        <v>0</v>
      </c>
      <c r="I49" s="4">
        <f t="shared" ca="1" si="24"/>
        <v>0</v>
      </c>
      <c r="J49" s="4">
        <f t="shared" ca="1" si="25"/>
        <v>0</v>
      </c>
      <c r="K49" s="4">
        <f t="shared" ca="1" si="26"/>
        <v>0</v>
      </c>
      <c r="L49" s="4">
        <f t="shared" ca="1" si="27"/>
        <v>0</v>
      </c>
      <c r="M49" s="4">
        <f t="shared" ca="1" si="28"/>
        <v>0</v>
      </c>
      <c r="N49" s="4" t="str">
        <f t="shared" si="16"/>
        <v/>
      </c>
      <c r="O49" s="4" t="str">
        <f t="shared" si="17"/>
        <v/>
      </c>
    </row>
    <row r="50" spans="1:15">
      <c r="A50">
        <f t="shared" si="14"/>
        <v>45</v>
      </c>
      <c r="B50" t="str">
        <f t="shared" si="3"/>
        <v/>
      </c>
      <c r="C50" s="3">
        <f t="shared" si="18"/>
        <v>0</v>
      </c>
      <c r="D50" s="4">
        <f t="shared" ca="1" si="19"/>
        <v>0</v>
      </c>
      <c r="E50" s="4">
        <f t="shared" ca="1" si="20"/>
        <v>0</v>
      </c>
      <c r="F50" s="4">
        <f t="shared" ca="1" si="21"/>
        <v>0</v>
      </c>
      <c r="G50" s="4">
        <f t="shared" ca="1" si="22"/>
        <v>0</v>
      </c>
      <c r="H50" s="4">
        <f t="shared" si="23"/>
        <v>0</v>
      </c>
      <c r="I50" s="4">
        <f t="shared" ca="1" si="24"/>
        <v>0</v>
      </c>
      <c r="J50" s="4">
        <f t="shared" ca="1" si="25"/>
        <v>0</v>
      </c>
      <c r="K50" s="4">
        <f t="shared" ca="1" si="26"/>
        <v>0</v>
      </c>
      <c r="L50" s="4">
        <f t="shared" ca="1" si="27"/>
        <v>0</v>
      </c>
      <c r="M50" s="4">
        <f t="shared" ca="1" si="28"/>
        <v>0</v>
      </c>
      <c r="N50" s="4" t="str">
        <f t="shared" si="16"/>
        <v/>
      </c>
      <c r="O50" s="4" t="str">
        <f t="shared" si="17"/>
        <v/>
      </c>
    </row>
    <row r="51" spans="1:15">
      <c r="A51">
        <f t="shared" si="14"/>
        <v>46</v>
      </c>
      <c r="B51" t="str">
        <f t="shared" si="3"/>
        <v/>
      </c>
      <c r="C51" s="3">
        <f t="shared" si="18"/>
        <v>0</v>
      </c>
      <c r="D51" s="4">
        <f t="shared" ca="1" si="19"/>
        <v>0</v>
      </c>
      <c r="E51" s="4">
        <f t="shared" ca="1" si="20"/>
        <v>0</v>
      </c>
      <c r="F51" s="4">
        <f t="shared" ca="1" si="21"/>
        <v>0</v>
      </c>
      <c r="G51" s="4">
        <f t="shared" ca="1" si="22"/>
        <v>0</v>
      </c>
      <c r="H51" s="4">
        <f t="shared" si="23"/>
        <v>0</v>
      </c>
      <c r="I51" s="4">
        <f t="shared" ca="1" si="24"/>
        <v>0</v>
      </c>
      <c r="J51" s="4">
        <f t="shared" ca="1" si="25"/>
        <v>0</v>
      </c>
      <c r="K51" s="4">
        <f t="shared" ca="1" si="26"/>
        <v>0</v>
      </c>
      <c r="L51" s="4">
        <f t="shared" ca="1" si="27"/>
        <v>0</v>
      </c>
      <c r="M51" s="4">
        <f t="shared" ca="1" si="28"/>
        <v>0</v>
      </c>
      <c r="N51" s="4" t="str">
        <f t="shared" si="16"/>
        <v/>
      </c>
      <c r="O51" s="4" t="str">
        <f t="shared" si="17"/>
        <v/>
      </c>
    </row>
    <row r="52" spans="1:15">
      <c r="A52">
        <f t="shared" si="14"/>
        <v>47</v>
      </c>
      <c r="B52" t="str">
        <f t="shared" si="3"/>
        <v/>
      </c>
      <c r="C52" s="3">
        <f t="shared" si="18"/>
        <v>0</v>
      </c>
      <c r="D52" s="4">
        <f t="shared" ca="1" si="19"/>
        <v>0</v>
      </c>
      <c r="E52" s="4">
        <f t="shared" ca="1" si="20"/>
        <v>0</v>
      </c>
      <c r="F52" s="4">
        <f t="shared" ca="1" si="21"/>
        <v>0</v>
      </c>
      <c r="G52" s="4">
        <f t="shared" ca="1" si="22"/>
        <v>0</v>
      </c>
      <c r="H52" s="4">
        <f t="shared" si="23"/>
        <v>0</v>
      </c>
      <c r="I52" s="4">
        <f t="shared" ca="1" si="24"/>
        <v>0</v>
      </c>
      <c r="J52" s="4">
        <f t="shared" ca="1" si="25"/>
        <v>0</v>
      </c>
      <c r="K52" s="4">
        <f t="shared" ca="1" si="26"/>
        <v>0</v>
      </c>
      <c r="L52" s="4">
        <f t="shared" ca="1" si="27"/>
        <v>0</v>
      </c>
      <c r="M52" s="4">
        <f t="shared" ca="1" si="28"/>
        <v>0</v>
      </c>
      <c r="N52" s="4" t="str">
        <f t="shared" si="16"/>
        <v/>
      </c>
      <c r="O52" s="4" t="str">
        <f t="shared" si="17"/>
        <v/>
      </c>
    </row>
    <row r="53" spans="1:15">
      <c r="A53">
        <f t="shared" si="14"/>
        <v>48</v>
      </c>
      <c r="B53" t="str">
        <f t="shared" si="3"/>
        <v/>
      </c>
      <c r="C53" s="3">
        <f t="shared" si="18"/>
        <v>0</v>
      </c>
      <c r="D53" s="4">
        <f t="shared" ca="1" si="19"/>
        <v>0</v>
      </c>
      <c r="E53" s="4">
        <f t="shared" ca="1" si="20"/>
        <v>0</v>
      </c>
      <c r="F53" s="4">
        <f t="shared" ca="1" si="21"/>
        <v>0</v>
      </c>
      <c r="G53" s="4">
        <f t="shared" ca="1" si="22"/>
        <v>0</v>
      </c>
      <c r="H53" s="4">
        <f t="shared" si="23"/>
        <v>0</v>
      </c>
      <c r="I53" s="4">
        <f t="shared" ca="1" si="24"/>
        <v>0</v>
      </c>
      <c r="J53" s="4">
        <f t="shared" ca="1" si="25"/>
        <v>0</v>
      </c>
      <c r="K53" s="4">
        <f t="shared" ca="1" si="26"/>
        <v>0</v>
      </c>
      <c r="L53" s="4">
        <f t="shared" ca="1" si="27"/>
        <v>0</v>
      </c>
      <c r="M53" s="4">
        <f t="shared" ca="1" si="28"/>
        <v>0</v>
      </c>
      <c r="N53" s="4" t="str">
        <f t="shared" si="16"/>
        <v/>
      </c>
      <c r="O53" s="4" t="str">
        <f t="shared" si="17"/>
        <v/>
      </c>
    </row>
    <row r="54" spans="1:15">
      <c r="A54">
        <f t="shared" si="14"/>
        <v>49</v>
      </c>
      <c r="B54" t="str">
        <f t="shared" si="3"/>
        <v/>
      </c>
      <c r="C54" s="3">
        <f t="shared" si="18"/>
        <v>0</v>
      </c>
      <c r="D54" s="4">
        <f t="shared" ca="1" si="19"/>
        <v>0</v>
      </c>
      <c r="E54" s="4">
        <f t="shared" ca="1" si="20"/>
        <v>0</v>
      </c>
      <c r="F54" s="4">
        <f t="shared" ca="1" si="21"/>
        <v>0</v>
      </c>
      <c r="G54" s="4">
        <f t="shared" ca="1" si="22"/>
        <v>0</v>
      </c>
      <c r="H54" s="4">
        <f t="shared" si="23"/>
        <v>0</v>
      </c>
      <c r="I54" s="4">
        <f t="shared" ca="1" si="24"/>
        <v>0</v>
      </c>
      <c r="J54" s="4">
        <f t="shared" ca="1" si="25"/>
        <v>0</v>
      </c>
      <c r="K54" s="4">
        <f t="shared" ca="1" si="26"/>
        <v>0</v>
      </c>
      <c r="L54" s="4">
        <f t="shared" ca="1" si="27"/>
        <v>0</v>
      </c>
      <c r="M54" s="4">
        <f t="shared" ca="1" si="28"/>
        <v>0</v>
      </c>
      <c r="N54" s="4" t="str">
        <f t="shared" si="16"/>
        <v/>
      </c>
      <c r="O54" s="4" t="str">
        <f t="shared" si="17"/>
        <v/>
      </c>
    </row>
    <row r="55" spans="1:15">
      <c r="A55">
        <f t="shared" si="14"/>
        <v>50</v>
      </c>
      <c r="B55" t="str">
        <f t="shared" si="3"/>
        <v/>
      </c>
      <c r="C55" s="3">
        <f t="shared" si="18"/>
        <v>0</v>
      </c>
      <c r="D55" s="4">
        <f t="shared" ca="1" si="19"/>
        <v>0</v>
      </c>
      <c r="E55" s="4">
        <f t="shared" ca="1" si="20"/>
        <v>0</v>
      </c>
      <c r="F55" s="4">
        <f t="shared" ca="1" si="21"/>
        <v>0</v>
      </c>
      <c r="G55" s="4">
        <f t="shared" ca="1" si="22"/>
        <v>0</v>
      </c>
      <c r="H55" s="4">
        <f t="shared" si="23"/>
        <v>0</v>
      </c>
      <c r="I55" s="4">
        <f t="shared" ca="1" si="24"/>
        <v>0</v>
      </c>
      <c r="J55" s="4">
        <f t="shared" ca="1" si="25"/>
        <v>0</v>
      </c>
      <c r="K55" s="4">
        <f t="shared" ca="1" si="26"/>
        <v>0</v>
      </c>
      <c r="L55" s="4">
        <f t="shared" ca="1" si="27"/>
        <v>0</v>
      </c>
      <c r="M55" s="4">
        <f t="shared" ca="1" si="28"/>
        <v>0</v>
      </c>
      <c r="N55" s="4" t="str">
        <f t="shared" si="16"/>
        <v/>
      </c>
      <c r="O55" s="4" t="str">
        <f t="shared" si="17"/>
        <v/>
      </c>
    </row>
    <row r="56" spans="1:15">
      <c r="A56">
        <f t="shared" si="14"/>
        <v>51</v>
      </c>
      <c r="B56" t="str">
        <f t="shared" si="3"/>
        <v/>
      </c>
      <c r="C56" s="3">
        <f t="shared" si="18"/>
        <v>0</v>
      </c>
      <c r="D56" s="4">
        <f t="shared" ca="1" si="19"/>
        <v>0</v>
      </c>
      <c r="E56" s="4">
        <f t="shared" ca="1" si="20"/>
        <v>0</v>
      </c>
      <c r="F56" s="4">
        <f t="shared" ca="1" si="21"/>
        <v>0</v>
      </c>
      <c r="G56" s="4">
        <f t="shared" ca="1" si="22"/>
        <v>0</v>
      </c>
      <c r="H56" s="4">
        <f t="shared" si="23"/>
        <v>0</v>
      </c>
      <c r="I56" s="4">
        <f t="shared" ca="1" si="24"/>
        <v>0</v>
      </c>
      <c r="J56" s="4">
        <f t="shared" ca="1" si="25"/>
        <v>0</v>
      </c>
      <c r="K56" s="4">
        <f t="shared" ca="1" si="26"/>
        <v>0</v>
      </c>
      <c r="L56" s="4">
        <f t="shared" ca="1" si="27"/>
        <v>0</v>
      </c>
      <c r="M56" s="4">
        <f t="shared" ca="1" si="28"/>
        <v>0</v>
      </c>
      <c r="N56" s="4" t="str">
        <f t="shared" si="16"/>
        <v/>
      </c>
      <c r="O56" s="4" t="str">
        <f t="shared" si="17"/>
        <v/>
      </c>
    </row>
    <row r="57" spans="1:15">
      <c r="A57">
        <f t="shared" si="14"/>
        <v>52</v>
      </c>
      <c r="B57" t="str">
        <f t="shared" si="3"/>
        <v/>
      </c>
      <c r="C57" s="3">
        <f t="shared" si="18"/>
        <v>0</v>
      </c>
      <c r="D57" s="4">
        <f t="shared" ca="1" si="19"/>
        <v>0</v>
      </c>
      <c r="E57" s="4">
        <f t="shared" ca="1" si="20"/>
        <v>0</v>
      </c>
      <c r="F57" s="4">
        <f t="shared" ca="1" si="21"/>
        <v>0</v>
      </c>
      <c r="G57" s="4">
        <f t="shared" ca="1" si="22"/>
        <v>0</v>
      </c>
      <c r="H57" s="4">
        <f t="shared" si="23"/>
        <v>0</v>
      </c>
      <c r="I57" s="4">
        <f t="shared" ca="1" si="24"/>
        <v>0</v>
      </c>
      <c r="J57" s="4">
        <f t="shared" ca="1" si="25"/>
        <v>0</v>
      </c>
      <c r="K57" s="4">
        <f t="shared" ca="1" si="26"/>
        <v>0</v>
      </c>
      <c r="L57" s="4">
        <f t="shared" ca="1" si="27"/>
        <v>0</v>
      </c>
      <c r="M57" s="4">
        <f t="shared" ca="1" si="28"/>
        <v>0</v>
      </c>
      <c r="N57" s="4" t="str">
        <f t="shared" si="16"/>
        <v/>
      </c>
      <c r="O57" s="4" t="str">
        <f t="shared" si="17"/>
        <v/>
      </c>
    </row>
    <row r="58" spans="1:15">
      <c r="A58">
        <f t="shared" si="14"/>
        <v>53</v>
      </c>
      <c r="B58" t="str">
        <f t="shared" si="3"/>
        <v/>
      </c>
      <c r="C58" s="3">
        <f t="shared" si="18"/>
        <v>0</v>
      </c>
      <c r="D58" s="4">
        <f t="shared" ca="1" si="19"/>
        <v>0</v>
      </c>
      <c r="E58" s="4">
        <f t="shared" ca="1" si="20"/>
        <v>0</v>
      </c>
      <c r="F58" s="4">
        <f t="shared" ca="1" si="21"/>
        <v>0</v>
      </c>
      <c r="G58" s="4">
        <f t="shared" ca="1" si="22"/>
        <v>0</v>
      </c>
      <c r="H58" s="4">
        <f t="shared" si="23"/>
        <v>0</v>
      </c>
      <c r="I58" s="4">
        <f t="shared" ca="1" si="24"/>
        <v>0</v>
      </c>
      <c r="J58" s="4">
        <f t="shared" ca="1" si="25"/>
        <v>0</v>
      </c>
      <c r="K58" s="4">
        <f t="shared" ca="1" si="26"/>
        <v>0</v>
      </c>
      <c r="L58" s="4">
        <f t="shared" ca="1" si="27"/>
        <v>0</v>
      </c>
      <c r="M58" s="4">
        <f t="shared" ca="1" si="28"/>
        <v>0</v>
      </c>
      <c r="N58" s="4" t="str">
        <f t="shared" si="16"/>
        <v/>
      </c>
      <c r="O58" s="4" t="str">
        <f t="shared" si="17"/>
        <v/>
      </c>
    </row>
    <row r="59" spans="1:15">
      <c r="A59">
        <f t="shared" si="14"/>
        <v>54</v>
      </c>
      <c r="B59" t="str">
        <f t="shared" si="3"/>
        <v/>
      </c>
      <c r="C59" s="3">
        <f t="shared" si="18"/>
        <v>0</v>
      </c>
      <c r="D59" s="4">
        <f t="shared" ca="1" si="19"/>
        <v>0</v>
      </c>
      <c r="E59" s="4">
        <f t="shared" ca="1" si="20"/>
        <v>0</v>
      </c>
      <c r="F59" s="4">
        <f t="shared" ca="1" si="21"/>
        <v>0</v>
      </c>
      <c r="G59" s="4">
        <f t="shared" ca="1" si="22"/>
        <v>0</v>
      </c>
      <c r="H59" s="4">
        <f t="shared" si="23"/>
        <v>0</v>
      </c>
      <c r="I59" s="4">
        <f t="shared" ca="1" si="24"/>
        <v>0</v>
      </c>
      <c r="J59" s="4">
        <f t="shared" ca="1" si="25"/>
        <v>0</v>
      </c>
      <c r="K59" s="4">
        <f t="shared" ca="1" si="26"/>
        <v>0</v>
      </c>
      <c r="L59" s="4">
        <f t="shared" ca="1" si="27"/>
        <v>0</v>
      </c>
      <c r="M59" s="4">
        <f t="shared" ca="1" si="28"/>
        <v>0</v>
      </c>
      <c r="N59" s="4" t="str">
        <f t="shared" si="16"/>
        <v/>
      </c>
      <c r="O59" s="4" t="str">
        <f t="shared" si="17"/>
        <v/>
      </c>
    </row>
    <row r="60" spans="1:15">
      <c r="A60">
        <f t="shared" si="14"/>
        <v>55</v>
      </c>
      <c r="B60" t="str">
        <f t="shared" si="3"/>
        <v/>
      </c>
      <c r="C60" s="3">
        <f t="shared" si="18"/>
        <v>0</v>
      </c>
      <c r="D60" s="4">
        <f t="shared" ca="1" si="19"/>
        <v>0</v>
      </c>
      <c r="E60" s="4">
        <f t="shared" ca="1" si="20"/>
        <v>0</v>
      </c>
      <c r="F60" s="4">
        <f t="shared" ca="1" si="21"/>
        <v>0</v>
      </c>
      <c r="G60" s="4">
        <f t="shared" ca="1" si="22"/>
        <v>0</v>
      </c>
      <c r="H60" s="4">
        <f t="shared" si="23"/>
        <v>0</v>
      </c>
      <c r="I60" s="4">
        <f t="shared" ca="1" si="24"/>
        <v>0</v>
      </c>
      <c r="J60" s="4">
        <f t="shared" ca="1" si="25"/>
        <v>0</v>
      </c>
      <c r="K60" s="4">
        <f t="shared" ca="1" si="26"/>
        <v>0</v>
      </c>
      <c r="L60" s="4">
        <f t="shared" ca="1" si="27"/>
        <v>0</v>
      </c>
      <c r="M60" s="4">
        <f t="shared" ca="1" si="28"/>
        <v>0</v>
      </c>
      <c r="N60" s="4" t="str">
        <f t="shared" si="16"/>
        <v/>
      </c>
      <c r="O60" s="4" t="str">
        <f t="shared" si="17"/>
        <v/>
      </c>
    </row>
    <row r="61" spans="1:15">
      <c r="A61">
        <f t="shared" si="14"/>
        <v>56</v>
      </c>
      <c r="B61" t="str">
        <f t="shared" si="3"/>
        <v/>
      </c>
      <c r="C61" s="3">
        <f t="shared" si="18"/>
        <v>0</v>
      </c>
      <c r="D61" s="4">
        <f t="shared" ca="1" si="19"/>
        <v>0</v>
      </c>
      <c r="E61" s="4">
        <f t="shared" ca="1" si="20"/>
        <v>0</v>
      </c>
      <c r="F61" s="4">
        <f t="shared" ca="1" si="21"/>
        <v>0</v>
      </c>
      <c r="G61" s="4">
        <f t="shared" ca="1" si="22"/>
        <v>0</v>
      </c>
      <c r="H61" s="4">
        <f t="shared" si="23"/>
        <v>0</v>
      </c>
      <c r="I61" s="4">
        <f t="shared" ca="1" si="24"/>
        <v>0</v>
      </c>
      <c r="J61" s="4">
        <f t="shared" ca="1" si="25"/>
        <v>0</v>
      </c>
      <c r="K61" s="4">
        <f t="shared" ca="1" si="26"/>
        <v>0</v>
      </c>
      <c r="L61" s="4">
        <f t="shared" ca="1" si="27"/>
        <v>0</v>
      </c>
      <c r="M61" s="4">
        <f t="shared" ca="1" si="28"/>
        <v>0</v>
      </c>
      <c r="N61" s="4" t="str">
        <f t="shared" si="16"/>
        <v/>
      </c>
      <c r="O61" s="4" t="str">
        <f t="shared" si="17"/>
        <v/>
      </c>
    </row>
    <row r="62" spans="1:15">
      <c r="A62">
        <f t="shared" si="14"/>
        <v>57</v>
      </c>
      <c r="B62" t="str">
        <f t="shared" si="3"/>
        <v/>
      </c>
      <c r="C62" s="3">
        <f t="shared" si="18"/>
        <v>0</v>
      </c>
      <c r="D62" s="4">
        <f t="shared" ca="1" si="19"/>
        <v>0</v>
      </c>
      <c r="E62" s="4">
        <f t="shared" ca="1" si="20"/>
        <v>0</v>
      </c>
      <c r="F62" s="4">
        <f t="shared" ca="1" si="21"/>
        <v>0</v>
      </c>
      <c r="G62" s="4">
        <f t="shared" ca="1" si="22"/>
        <v>0</v>
      </c>
      <c r="H62" s="4">
        <f t="shared" si="23"/>
        <v>0</v>
      </c>
      <c r="I62" s="4">
        <f t="shared" ca="1" si="24"/>
        <v>0</v>
      </c>
      <c r="J62" s="4">
        <f t="shared" ca="1" si="25"/>
        <v>0</v>
      </c>
      <c r="K62" s="4">
        <f t="shared" ca="1" si="26"/>
        <v>0</v>
      </c>
      <c r="L62" s="4">
        <f t="shared" ca="1" si="27"/>
        <v>0</v>
      </c>
      <c r="M62" s="4">
        <f t="shared" ca="1" si="28"/>
        <v>0</v>
      </c>
      <c r="N62" s="4" t="str">
        <f t="shared" si="16"/>
        <v/>
      </c>
      <c r="O62" s="4" t="str">
        <f t="shared" si="17"/>
        <v/>
      </c>
    </row>
    <row r="63" spans="1:15">
      <c r="A63">
        <f t="shared" si="14"/>
        <v>58</v>
      </c>
      <c r="B63" t="str">
        <f t="shared" si="3"/>
        <v/>
      </c>
      <c r="C63" s="3">
        <f t="shared" si="18"/>
        <v>0</v>
      </c>
      <c r="D63" s="4">
        <f t="shared" ca="1" si="19"/>
        <v>0</v>
      </c>
      <c r="E63" s="4">
        <f t="shared" ca="1" si="20"/>
        <v>0</v>
      </c>
      <c r="F63" s="4">
        <f t="shared" ca="1" si="21"/>
        <v>0</v>
      </c>
      <c r="G63" s="4">
        <f t="shared" ca="1" si="22"/>
        <v>0</v>
      </c>
      <c r="H63" s="4">
        <f t="shared" si="23"/>
        <v>0</v>
      </c>
      <c r="I63" s="4">
        <f t="shared" ca="1" si="24"/>
        <v>0</v>
      </c>
      <c r="J63" s="4">
        <f t="shared" ca="1" si="25"/>
        <v>0</v>
      </c>
      <c r="K63" s="4">
        <f t="shared" ca="1" si="26"/>
        <v>0</v>
      </c>
      <c r="L63" s="4">
        <f t="shared" ca="1" si="27"/>
        <v>0</v>
      </c>
      <c r="M63" s="4">
        <f t="shared" ca="1" si="28"/>
        <v>0</v>
      </c>
      <c r="N63" s="4" t="str">
        <f t="shared" si="16"/>
        <v/>
      </c>
      <c r="O63" s="4" t="str">
        <f t="shared" si="17"/>
        <v/>
      </c>
    </row>
    <row r="64" spans="1:15">
      <c r="A64">
        <f t="shared" si="14"/>
        <v>59</v>
      </c>
      <c r="B64" t="str">
        <f t="shared" si="3"/>
        <v/>
      </c>
      <c r="C64" s="3">
        <f t="shared" si="18"/>
        <v>0</v>
      </c>
      <c r="D64" s="4">
        <f t="shared" ca="1" si="19"/>
        <v>0</v>
      </c>
      <c r="E64" s="4">
        <f t="shared" ca="1" si="20"/>
        <v>0</v>
      </c>
      <c r="F64" s="4">
        <f t="shared" ca="1" si="21"/>
        <v>0</v>
      </c>
      <c r="G64" s="4">
        <f t="shared" ca="1" si="22"/>
        <v>0</v>
      </c>
      <c r="H64" s="4">
        <f t="shared" si="23"/>
        <v>0</v>
      </c>
      <c r="I64" s="4">
        <f t="shared" ca="1" si="24"/>
        <v>0</v>
      </c>
      <c r="J64" s="4">
        <f t="shared" ca="1" si="25"/>
        <v>0</v>
      </c>
      <c r="K64" s="4">
        <f t="shared" ca="1" si="26"/>
        <v>0</v>
      </c>
      <c r="L64" s="4">
        <f t="shared" ca="1" si="27"/>
        <v>0</v>
      </c>
      <c r="M64" s="4">
        <f t="shared" ca="1" si="28"/>
        <v>0</v>
      </c>
      <c r="N64" s="4" t="str">
        <f t="shared" si="16"/>
        <v/>
      </c>
      <c r="O64" s="4" t="str">
        <f t="shared" si="17"/>
        <v/>
      </c>
    </row>
    <row r="65" spans="1:15">
      <c r="A65">
        <f t="shared" si="14"/>
        <v>60</v>
      </c>
      <c r="B65" t="str">
        <f t="shared" si="3"/>
        <v/>
      </c>
      <c r="C65" s="3">
        <f t="shared" si="18"/>
        <v>0</v>
      </c>
      <c r="D65" s="4">
        <f t="shared" ca="1" si="19"/>
        <v>0</v>
      </c>
      <c r="E65" s="4">
        <f t="shared" ca="1" si="20"/>
        <v>0</v>
      </c>
      <c r="F65" s="4">
        <f t="shared" ca="1" si="21"/>
        <v>0</v>
      </c>
      <c r="G65" s="4">
        <f t="shared" ca="1" si="22"/>
        <v>0</v>
      </c>
      <c r="H65" s="4">
        <f t="shared" si="23"/>
        <v>0</v>
      </c>
      <c r="I65" s="4">
        <f t="shared" ca="1" si="24"/>
        <v>0</v>
      </c>
      <c r="J65" s="4">
        <f t="shared" ca="1" si="25"/>
        <v>0</v>
      </c>
      <c r="K65" s="4">
        <f t="shared" ca="1" si="26"/>
        <v>0</v>
      </c>
      <c r="L65" s="4">
        <f t="shared" ca="1" si="27"/>
        <v>0</v>
      </c>
      <c r="M65" s="4">
        <f t="shared" ca="1" si="28"/>
        <v>0</v>
      </c>
      <c r="N65" s="4" t="str">
        <f t="shared" si="16"/>
        <v/>
      </c>
      <c r="O65" s="4" t="str">
        <f t="shared" si="17"/>
        <v/>
      </c>
    </row>
    <row r="66" spans="1:15">
      <c r="A66">
        <f t="shared" si="14"/>
        <v>61</v>
      </c>
      <c r="B66" t="str">
        <f t="shared" si="3"/>
        <v/>
      </c>
      <c r="C66" s="3">
        <f t="shared" si="18"/>
        <v>0</v>
      </c>
      <c r="D66" s="4">
        <f t="shared" ca="1" si="19"/>
        <v>0</v>
      </c>
      <c r="E66" s="4">
        <f t="shared" ca="1" si="20"/>
        <v>0</v>
      </c>
      <c r="F66" s="4">
        <f t="shared" ca="1" si="21"/>
        <v>0</v>
      </c>
      <c r="G66" s="4">
        <f t="shared" ca="1" si="22"/>
        <v>0</v>
      </c>
      <c r="H66" s="4">
        <f t="shared" si="23"/>
        <v>0</v>
      </c>
      <c r="I66" s="4">
        <f t="shared" ca="1" si="24"/>
        <v>0</v>
      </c>
      <c r="J66" s="4">
        <f t="shared" ca="1" si="25"/>
        <v>0</v>
      </c>
      <c r="K66" s="4">
        <f t="shared" ca="1" si="26"/>
        <v>0</v>
      </c>
      <c r="L66" s="4">
        <f t="shared" ca="1" si="27"/>
        <v>0</v>
      </c>
      <c r="M66" s="4">
        <f t="shared" ca="1" si="28"/>
        <v>0</v>
      </c>
      <c r="N66" s="4" t="str">
        <f t="shared" si="16"/>
        <v/>
      </c>
      <c r="O66" s="4" t="str">
        <f t="shared" si="17"/>
        <v/>
      </c>
    </row>
    <row r="67" spans="1:15">
      <c r="A67">
        <f t="shared" si="14"/>
        <v>62</v>
      </c>
      <c r="B67" t="str">
        <f t="shared" si="3"/>
        <v/>
      </c>
      <c r="C67" s="3">
        <f t="shared" si="18"/>
        <v>0</v>
      </c>
      <c r="D67" s="4">
        <f t="shared" ca="1" si="19"/>
        <v>0</v>
      </c>
      <c r="E67" s="4">
        <f t="shared" ca="1" si="20"/>
        <v>0</v>
      </c>
      <c r="F67" s="4">
        <f t="shared" ca="1" si="21"/>
        <v>0</v>
      </c>
      <c r="G67" s="4">
        <f t="shared" ca="1" si="22"/>
        <v>0</v>
      </c>
      <c r="H67" s="4">
        <f t="shared" si="23"/>
        <v>0</v>
      </c>
      <c r="I67" s="4">
        <f t="shared" ca="1" si="24"/>
        <v>0</v>
      </c>
      <c r="J67" s="4">
        <f t="shared" ca="1" si="25"/>
        <v>0</v>
      </c>
      <c r="K67" s="4">
        <f t="shared" ca="1" si="26"/>
        <v>0</v>
      </c>
      <c r="L67" s="4">
        <f t="shared" ca="1" si="27"/>
        <v>0</v>
      </c>
      <c r="M67" s="4">
        <f t="shared" ca="1" si="28"/>
        <v>0</v>
      </c>
      <c r="N67" s="4" t="str">
        <f t="shared" si="16"/>
        <v/>
      </c>
      <c r="O67" s="4" t="str">
        <f t="shared" si="17"/>
        <v/>
      </c>
    </row>
    <row r="68" spans="1:15">
      <c r="A68">
        <f t="shared" si="14"/>
        <v>63</v>
      </c>
      <c r="B68" t="str">
        <f t="shared" si="3"/>
        <v/>
      </c>
      <c r="C68" s="3">
        <f t="shared" si="18"/>
        <v>0</v>
      </c>
      <c r="D68" s="4">
        <f t="shared" ca="1" si="19"/>
        <v>0</v>
      </c>
      <c r="E68" s="4">
        <f t="shared" ca="1" si="20"/>
        <v>0</v>
      </c>
      <c r="F68" s="4">
        <f t="shared" ca="1" si="21"/>
        <v>0</v>
      </c>
      <c r="G68" s="4">
        <f t="shared" ca="1" si="22"/>
        <v>0</v>
      </c>
      <c r="H68" s="4">
        <f t="shared" si="23"/>
        <v>0</v>
      </c>
      <c r="I68" s="4">
        <f t="shared" ca="1" si="24"/>
        <v>0</v>
      </c>
      <c r="J68" s="4">
        <f t="shared" ca="1" si="25"/>
        <v>0</v>
      </c>
      <c r="K68" s="4">
        <f t="shared" ca="1" si="26"/>
        <v>0</v>
      </c>
      <c r="L68" s="4">
        <f t="shared" ca="1" si="27"/>
        <v>0</v>
      </c>
      <c r="M68" s="4">
        <f t="shared" ca="1" si="28"/>
        <v>0</v>
      </c>
      <c r="N68" s="4" t="str">
        <f t="shared" si="16"/>
        <v/>
      </c>
      <c r="O68" s="4" t="str">
        <f t="shared" si="17"/>
        <v/>
      </c>
    </row>
    <row r="69" spans="1:15">
      <c r="A69">
        <f t="shared" si="14"/>
        <v>64</v>
      </c>
      <c r="B69" t="str">
        <f t="shared" si="3"/>
        <v/>
      </c>
      <c r="C69" s="3">
        <f t="shared" si="18"/>
        <v>0</v>
      </c>
      <c r="D69" s="4">
        <f t="shared" ca="1" si="19"/>
        <v>0</v>
      </c>
      <c r="E69" s="4">
        <f t="shared" ca="1" si="20"/>
        <v>0</v>
      </c>
      <c r="F69" s="4">
        <f t="shared" ca="1" si="21"/>
        <v>0</v>
      </c>
      <c r="G69" s="4">
        <f t="shared" ca="1" si="22"/>
        <v>0</v>
      </c>
      <c r="H69" s="4">
        <f t="shared" si="23"/>
        <v>0</v>
      </c>
      <c r="I69" s="4">
        <f t="shared" ca="1" si="24"/>
        <v>0</v>
      </c>
      <c r="J69" s="4">
        <f t="shared" ca="1" si="25"/>
        <v>0</v>
      </c>
      <c r="K69" s="4">
        <f t="shared" ca="1" si="26"/>
        <v>0</v>
      </c>
      <c r="L69" s="4">
        <f t="shared" ca="1" si="27"/>
        <v>0</v>
      </c>
      <c r="M69" s="4">
        <f t="shared" ca="1" si="28"/>
        <v>0</v>
      </c>
      <c r="N69" s="4" t="str">
        <f t="shared" si="16"/>
        <v/>
      </c>
      <c r="O69" s="4" t="str">
        <f t="shared" si="17"/>
        <v/>
      </c>
    </row>
    <row r="70" spans="1:15">
      <c r="A70">
        <f t="shared" si="14"/>
        <v>65</v>
      </c>
      <c r="B70" t="str">
        <f t="shared" ref="B70:B105" si="29">IF(A70&lt;=_Lebensdauer,A70,"")</f>
        <v/>
      </c>
      <c r="C70" s="3">
        <f t="shared" ref="C70:C101" si="30">IF(ISNUMBER(B70),$C$5-B70*_Degradation_pro_Jahr_Standard,0)</f>
        <v>0</v>
      </c>
      <c r="D70" s="4">
        <f t="shared" ref="D70:D101" ca="1" si="31">_Ertrag_Ges.Min*C70/100</f>
        <v>0</v>
      </c>
      <c r="E70" s="4">
        <f t="shared" ref="E70:E101" ca="1" si="32">D70*_ENG_Rechenwert/100</f>
        <v>0</v>
      </c>
      <c r="F70" s="4">
        <f t="shared" ref="F70:F101" ca="1" si="33">(D70-E70)*_Tarif_Rücklieferung/100</f>
        <v>0</v>
      </c>
      <c r="G70" s="4">
        <f t="shared" ref="G70:G105" ca="1" si="34">E70*_Tarif_Bezug/100</f>
        <v>0</v>
      </c>
      <c r="H70" s="4">
        <f t="shared" ref="H70:H105" si="35">IF(_EIV_t=B70,-_EIV_Ges.Min_Rechenwert,0)+IF(_EF_t=B70,-_EF_Ges.Min_Rechenwert,0)</f>
        <v>0</v>
      </c>
      <c r="I70" s="4">
        <f t="shared" ref="I70:I105" ca="1" si="36">-D70*_Tarif_Unterhalt_Rechenwert/100</f>
        <v>0</v>
      </c>
      <c r="J70" s="4">
        <f t="shared" ref="J70:J105" ca="1" si="37">IF(L69&lt;0,L69*_Kap_Verzinsung/100,0)</f>
        <v>0</v>
      </c>
      <c r="K70" s="4">
        <f t="shared" ref="K70:K101" ca="1" si="38">SUM(F70:J70)</f>
        <v>0</v>
      </c>
      <c r="L70" s="4">
        <f t="shared" ref="L70:L101" ca="1" si="39">L69+K70</f>
        <v>0</v>
      </c>
      <c r="M70" s="4">
        <f t="shared" ref="M70:M101" ca="1" si="40">IF(AND(L69&lt;0,L70&gt;=0),B70,0)</f>
        <v>0</v>
      </c>
      <c r="N70" s="4" t="str">
        <f t="shared" si="16"/>
        <v/>
      </c>
      <c r="O70" s="4" t="str">
        <f t="shared" si="17"/>
        <v/>
      </c>
    </row>
    <row r="71" spans="1:15">
      <c r="A71">
        <f t="shared" ref="A71:A105" si="41">A70+1</f>
        <v>66</v>
      </c>
      <c r="B71" t="str">
        <f t="shared" si="29"/>
        <v/>
      </c>
      <c r="C71" s="3">
        <f t="shared" si="30"/>
        <v>0</v>
      </c>
      <c r="D71" s="4">
        <f t="shared" ca="1" si="31"/>
        <v>0</v>
      </c>
      <c r="E71" s="4">
        <f t="shared" ca="1" si="32"/>
        <v>0</v>
      </c>
      <c r="F71" s="4">
        <f t="shared" ca="1" si="33"/>
        <v>0</v>
      </c>
      <c r="G71" s="4">
        <f t="shared" ca="1" si="34"/>
        <v>0</v>
      </c>
      <c r="H71" s="4">
        <f t="shared" si="35"/>
        <v>0</v>
      </c>
      <c r="I71" s="4">
        <f t="shared" ca="1" si="36"/>
        <v>0</v>
      </c>
      <c r="J71" s="4">
        <f t="shared" ca="1" si="37"/>
        <v>0</v>
      </c>
      <c r="K71" s="4">
        <f t="shared" ca="1" si="38"/>
        <v>0</v>
      </c>
      <c r="L71" s="4">
        <f t="shared" ca="1" si="39"/>
        <v>0</v>
      </c>
      <c r="M71" s="4">
        <f t="shared" ca="1" si="40"/>
        <v>0</v>
      </c>
      <c r="N71" s="4" t="str">
        <f t="shared" si="16"/>
        <v/>
      </c>
      <c r="O71" s="4" t="str">
        <f t="shared" si="17"/>
        <v/>
      </c>
    </row>
    <row r="72" spans="1:15">
      <c r="A72">
        <f t="shared" si="41"/>
        <v>67</v>
      </c>
      <c r="B72" t="str">
        <f t="shared" si="29"/>
        <v/>
      </c>
      <c r="C72" s="3">
        <f t="shared" si="30"/>
        <v>0</v>
      </c>
      <c r="D72" s="4">
        <f t="shared" ca="1" si="31"/>
        <v>0</v>
      </c>
      <c r="E72" s="4">
        <f t="shared" ca="1" si="32"/>
        <v>0</v>
      </c>
      <c r="F72" s="4">
        <f t="shared" ca="1" si="33"/>
        <v>0</v>
      </c>
      <c r="G72" s="4">
        <f t="shared" ca="1" si="34"/>
        <v>0</v>
      </c>
      <c r="H72" s="4">
        <f t="shared" si="35"/>
        <v>0</v>
      </c>
      <c r="I72" s="4">
        <f t="shared" ca="1" si="36"/>
        <v>0</v>
      </c>
      <c r="J72" s="4">
        <f t="shared" ca="1" si="37"/>
        <v>0</v>
      </c>
      <c r="K72" s="4">
        <f t="shared" ca="1" si="38"/>
        <v>0</v>
      </c>
      <c r="L72" s="4">
        <f t="shared" ca="1" si="39"/>
        <v>0</v>
      </c>
      <c r="M72" s="4">
        <f t="shared" ca="1" si="40"/>
        <v>0</v>
      </c>
      <c r="N72" s="4" t="str">
        <f t="shared" si="16"/>
        <v/>
      </c>
      <c r="O72" s="4" t="str">
        <f t="shared" si="17"/>
        <v/>
      </c>
    </row>
    <row r="73" spans="1:15">
      <c r="A73">
        <f t="shared" si="41"/>
        <v>68</v>
      </c>
      <c r="B73" t="str">
        <f t="shared" si="29"/>
        <v/>
      </c>
      <c r="C73" s="3">
        <f t="shared" si="30"/>
        <v>0</v>
      </c>
      <c r="D73" s="4">
        <f t="shared" ca="1" si="31"/>
        <v>0</v>
      </c>
      <c r="E73" s="4">
        <f t="shared" ca="1" si="32"/>
        <v>0</v>
      </c>
      <c r="F73" s="4">
        <f t="shared" ca="1" si="33"/>
        <v>0</v>
      </c>
      <c r="G73" s="4">
        <f t="shared" ca="1" si="34"/>
        <v>0</v>
      </c>
      <c r="H73" s="4">
        <f t="shared" si="35"/>
        <v>0</v>
      </c>
      <c r="I73" s="4">
        <f t="shared" ca="1" si="36"/>
        <v>0</v>
      </c>
      <c r="J73" s="4">
        <f t="shared" ca="1" si="37"/>
        <v>0</v>
      </c>
      <c r="K73" s="4">
        <f t="shared" ca="1" si="38"/>
        <v>0</v>
      </c>
      <c r="L73" s="4">
        <f t="shared" ca="1" si="39"/>
        <v>0</v>
      </c>
      <c r="M73" s="4">
        <f t="shared" ca="1" si="40"/>
        <v>0</v>
      </c>
      <c r="N73" s="4" t="str">
        <f t="shared" si="16"/>
        <v/>
      </c>
      <c r="O73" s="4" t="str">
        <f t="shared" si="17"/>
        <v/>
      </c>
    </row>
    <row r="74" spans="1:15">
      <c r="A74">
        <f t="shared" si="41"/>
        <v>69</v>
      </c>
      <c r="B74" t="str">
        <f t="shared" si="29"/>
        <v/>
      </c>
      <c r="C74" s="3">
        <f t="shared" si="30"/>
        <v>0</v>
      </c>
      <c r="D74" s="4">
        <f t="shared" ca="1" si="31"/>
        <v>0</v>
      </c>
      <c r="E74" s="4">
        <f t="shared" ca="1" si="32"/>
        <v>0</v>
      </c>
      <c r="F74" s="4">
        <f t="shared" ca="1" si="33"/>
        <v>0</v>
      </c>
      <c r="G74" s="4">
        <f t="shared" ca="1" si="34"/>
        <v>0</v>
      </c>
      <c r="H74" s="4">
        <f t="shared" si="35"/>
        <v>0</v>
      </c>
      <c r="I74" s="4">
        <f t="shared" ca="1" si="36"/>
        <v>0</v>
      </c>
      <c r="J74" s="4">
        <f t="shared" ca="1" si="37"/>
        <v>0</v>
      </c>
      <c r="K74" s="4">
        <f t="shared" ca="1" si="38"/>
        <v>0</v>
      </c>
      <c r="L74" s="4">
        <f t="shared" ca="1" si="39"/>
        <v>0</v>
      </c>
      <c r="M74" s="4">
        <f t="shared" ca="1" si="40"/>
        <v>0</v>
      </c>
      <c r="N74" s="4" t="str">
        <f t="shared" si="16"/>
        <v/>
      </c>
      <c r="O74" s="4" t="str">
        <f t="shared" si="17"/>
        <v/>
      </c>
    </row>
    <row r="75" spans="1:15">
      <c r="A75">
        <f t="shared" si="41"/>
        <v>70</v>
      </c>
      <c r="B75" t="str">
        <f t="shared" si="29"/>
        <v/>
      </c>
      <c r="C75" s="3">
        <f t="shared" si="30"/>
        <v>0</v>
      </c>
      <c r="D75" s="4">
        <f t="shared" ca="1" si="31"/>
        <v>0</v>
      </c>
      <c r="E75" s="4">
        <f t="shared" ca="1" si="32"/>
        <v>0</v>
      </c>
      <c r="F75" s="4">
        <f t="shared" ca="1" si="33"/>
        <v>0</v>
      </c>
      <c r="G75" s="4">
        <f t="shared" ca="1" si="34"/>
        <v>0</v>
      </c>
      <c r="H75" s="4">
        <f t="shared" si="35"/>
        <v>0</v>
      </c>
      <c r="I75" s="4">
        <f t="shared" ca="1" si="36"/>
        <v>0</v>
      </c>
      <c r="J75" s="4">
        <f t="shared" ca="1" si="37"/>
        <v>0</v>
      </c>
      <c r="K75" s="4">
        <f t="shared" ca="1" si="38"/>
        <v>0</v>
      </c>
      <c r="L75" s="4">
        <f t="shared" ca="1" si="39"/>
        <v>0</v>
      </c>
      <c r="M75" s="4">
        <f t="shared" ca="1" si="40"/>
        <v>0</v>
      </c>
      <c r="N75" s="4" t="str">
        <f t="shared" si="16"/>
        <v/>
      </c>
      <c r="O75" s="4" t="str">
        <f t="shared" si="17"/>
        <v/>
      </c>
    </row>
    <row r="76" spans="1:15">
      <c r="A76">
        <f t="shared" si="41"/>
        <v>71</v>
      </c>
      <c r="B76" t="str">
        <f t="shared" si="29"/>
        <v/>
      </c>
      <c r="C76" s="3">
        <f t="shared" si="30"/>
        <v>0</v>
      </c>
      <c r="D76" s="4">
        <f t="shared" ca="1" si="31"/>
        <v>0</v>
      </c>
      <c r="E76" s="4">
        <f t="shared" ca="1" si="32"/>
        <v>0</v>
      </c>
      <c r="F76" s="4">
        <f t="shared" ca="1" si="33"/>
        <v>0</v>
      </c>
      <c r="G76" s="4">
        <f t="shared" ca="1" si="34"/>
        <v>0</v>
      </c>
      <c r="H76" s="4">
        <f t="shared" si="35"/>
        <v>0</v>
      </c>
      <c r="I76" s="4">
        <f t="shared" ca="1" si="36"/>
        <v>0</v>
      </c>
      <c r="J76" s="4">
        <f t="shared" ca="1" si="37"/>
        <v>0</v>
      </c>
      <c r="K76" s="4">
        <f t="shared" ca="1" si="38"/>
        <v>0</v>
      </c>
      <c r="L76" s="4">
        <f t="shared" ca="1" si="39"/>
        <v>0</v>
      </c>
      <c r="M76" s="4">
        <f t="shared" ca="1" si="40"/>
        <v>0</v>
      </c>
      <c r="N76" s="4" t="str">
        <f t="shared" si="16"/>
        <v/>
      </c>
      <c r="O76" s="4" t="str">
        <f t="shared" si="17"/>
        <v/>
      </c>
    </row>
    <row r="77" spans="1:15">
      <c r="A77">
        <f t="shared" si="41"/>
        <v>72</v>
      </c>
      <c r="B77" t="str">
        <f t="shared" si="29"/>
        <v/>
      </c>
      <c r="C77" s="3">
        <f t="shared" si="30"/>
        <v>0</v>
      </c>
      <c r="D77" s="4">
        <f t="shared" ca="1" si="31"/>
        <v>0</v>
      </c>
      <c r="E77" s="4">
        <f t="shared" ca="1" si="32"/>
        <v>0</v>
      </c>
      <c r="F77" s="4">
        <f t="shared" ca="1" si="33"/>
        <v>0</v>
      </c>
      <c r="G77" s="4">
        <f t="shared" ca="1" si="34"/>
        <v>0</v>
      </c>
      <c r="H77" s="4">
        <f t="shared" si="35"/>
        <v>0</v>
      </c>
      <c r="I77" s="4">
        <f t="shared" ca="1" si="36"/>
        <v>0</v>
      </c>
      <c r="J77" s="4">
        <f t="shared" ca="1" si="37"/>
        <v>0</v>
      </c>
      <c r="K77" s="4">
        <f t="shared" ca="1" si="38"/>
        <v>0</v>
      </c>
      <c r="L77" s="4">
        <f t="shared" ca="1" si="39"/>
        <v>0</v>
      </c>
      <c r="M77" s="4">
        <f t="shared" ca="1" si="40"/>
        <v>0</v>
      </c>
      <c r="N77" s="4" t="str">
        <f t="shared" si="16"/>
        <v/>
      </c>
      <c r="O77" s="4" t="str">
        <f t="shared" si="17"/>
        <v/>
      </c>
    </row>
    <row r="78" spans="1:15">
      <c r="A78">
        <f t="shared" si="41"/>
        <v>73</v>
      </c>
      <c r="B78" t="str">
        <f t="shared" si="29"/>
        <v/>
      </c>
      <c r="C78" s="3">
        <f t="shared" si="30"/>
        <v>0</v>
      </c>
      <c r="D78" s="4">
        <f t="shared" ca="1" si="31"/>
        <v>0</v>
      </c>
      <c r="E78" s="4">
        <f t="shared" ca="1" si="32"/>
        <v>0</v>
      </c>
      <c r="F78" s="4">
        <f t="shared" ca="1" si="33"/>
        <v>0</v>
      </c>
      <c r="G78" s="4">
        <f t="shared" ca="1" si="34"/>
        <v>0</v>
      </c>
      <c r="H78" s="4">
        <f t="shared" si="35"/>
        <v>0</v>
      </c>
      <c r="I78" s="4">
        <f t="shared" ca="1" si="36"/>
        <v>0</v>
      </c>
      <c r="J78" s="4">
        <f t="shared" ca="1" si="37"/>
        <v>0</v>
      </c>
      <c r="K78" s="4">
        <f t="shared" ca="1" si="38"/>
        <v>0</v>
      </c>
      <c r="L78" s="4">
        <f t="shared" ca="1" si="39"/>
        <v>0</v>
      </c>
      <c r="M78" s="4">
        <f t="shared" ca="1" si="40"/>
        <v>0</v>
      </c>
      <c r="N78" s="4" t="str">
        <f t="shared" si="16"/>
        <v/>
      </c>
      <c r="O78" s="4" t="str">
        <f t="shared" si="17"/>
        <v/>
      </c>
    </row>
    <row r="79" spans="1:15">
      <c r="A79">
        <f t="shared" si="41"/>
        <v>74</v>
      </c>
      <c r="B79" t="str">
        <f t="shared" si="29"/>
        <v/>
      </c>
      <c r="C79" s="3">
        <f t="shared" si="30"/>
        <v>0</v>
      </c>
      <c r="D79" s="4">
        <f t="shared" ca="1" si="31"/>
        <v>0</v>
      </c>
      <c r="E79" s="4">
        <f t="shared" ca="1" si="32"/>
        <v>0</v>
      </c>
      <c r="F79" s="4">
        <f t="shared" ca="1" si="33"/>
        <v>0</v>
      </c>
      <c r="G79" s="4">
        <f t="shared" ca="1" si="34"/>
        <v>0</v>
      </c>
      <c r="H79" s="4">
        <f t="shared" si="35"/>
        <v>0</v>
      </c>
      <c r="I79" s="4">
        <f t="shared" ca="1" si="36"/>
        <v>0</v>
      </c>
      <c r="J79" s="4">
        <f t="shared" ca="1" si="37"/>
        <v>0</v>
      </c>
      <c r="K79" s="4">
        <f t="shared" ca="1" si="38"/>
        <v>0</v>
      </c>
      <c r="L79" s="4">
        <f t="shared" ca="1" si="39"/>
        <v>0</v>
      </c>
      <c r="M79" s="4">
        <f t="shared" ca="1" si="40"/>
        <v>0</v>
      </c>
      <c r="N79" s="4" t="str">
        <f t="shared" si="16"/>
        <v/>
      </c>
      <c r="O79" s="4" t="str">
        <f t="shared" si="17"/>
        <v/>
      </c>
    </row>
    <row r="80" spans="1:15">
      <c r="A80">
        <f t="shared" si="41"/>
        <v>75</v>
      </c>
      <c r="B80" t="str">
        <f t="shared" si="29"/>
        <v/>
      </c>
      <c r="C80" s="3">
        <f t="shared" si="30"/>
        <v>0</v>
      </c>
      <c r="D80" s="4">
        <f t="shared" ca="1" si="31"/>
        <v>0</v>
      </c>
      <c r="E80" s="4">
        <f t="shared" ca="1" si="32"/>
        <v>0</v>
      </c>
      <c r="F80" s="4">
        <f t="shared" ca="1" si="33"/>
        <v>0</v>
      </c>
      <c r="G80" s="4">
        <f t="shared" ca="1" si="34"/>
        <v>0</v>
      </c>
      <c r="H80" s="4">
        <f t="shared" si="35"/>
        <v>0</v>
      </c>
      <c r="I80" s="4">
        <f t="shared" ca="1" si="36"/>
        <v>0</v>
      </c>
      <c r="J80" s="4">
        <f t="shared" ca="1" si="37"/>
        <v>0</v>
      </c>
      <c r="K80" s="4">
        <f t="shared" ca="1" si="38"/>
        <v>0</v>
      </c>
      <c r="L80" s="4">
        <f t="shared" ca="1" si="39"/>
        <v>0</v>
      </c>
      <c r="M80" s="4">
        <f t="shared" ca="1" si="40"/>
        <v>0</v>
      </c>
      <c r="N80" s="4" t="str">
        <f t="shared" si="16"/>
        <v/>
      </c>
      <c r="O80" s="4" t="str">
        <f t="shared" si="17"/>
        <v/>
      </c>
    </row>
    <row r="81" spans="1:15">
      <c r="A81">
        <f t="shared" si="41"/>
        <v>76</v>
      </c>
      <c r="B81" t="str">
        <f t="shared" si="29"/>
        <v/>
      </c>
      <c r="C81" s="3">
        <f t="shared" si="30"/>
        <v>0</v>
      </c>
      <c r="D81" s="4">
        <f t="shared" ca="1" si="31"/>
        <v>0</v>
      </c>
      <c r="E81" s="4">
        <f t="shared" ca="1" si="32"/>
        <v>0</v>
      </c>
      <c r="F81" s="4">
        <f t="shared" ca="1" si="33"/>
        <v>0</v>
      </c>
      <c r="G81" s="4">
        <f t="shared" ca="1" si="34"/>
        <v>0</v>
      </c>
      <c r="H81" s="4">
        <f t="shared" si="35"/>
        <v>0</v>
      </c>
      <c r="I81" s="4">
        <f t="shared" ca="1" si="36"/>
        <v>0</v>
      </c>
      <c r="J81" s="4">
        <f t="shared" ca="1" si="37"/>
        <v>0</v>
      </c>
      <c r="K81" s="4">
        <f t="shared" ca="1" si="38"/>
        <v>0</v>
      </c>
      <c r="L81" s="4">
        <f t="shared" ca="1" si="39"/>
        <v>0</v>
      </c>
      <c r="M81" s="4">
        <f t="shared" ca="1" si="40"/>
        <v>0</v>
      </c>
      <c r="N81" s="4" t="str">
        <f t="shared" si="16"/>
        <v/>
      </c>
      <c r="O81" s="4" t="str">
        <f t="shared" si="17"/>
        <v/>
      </c>
    </row>
    <row r="82" spans="1:15">
      <c r="A82">
        <f t="shared" si="41"/>
        <v>77</v>
      </c>
      <c r="B82" t="str">
        <f t="shared" si="29"/>
        <v/>
      </c>
      <c r="C82" s="3">
        <f t="shared" si="30"/>
        <v>0</v>
      </c>
      <c r="D82" s="4">
        <f t="shared" ca="1" si="31"/>
        <v>0</v>
      </c>
      <c r="E82" s="4">
        <f t="shared" ca="1" si="32"/>
        <v>0</v>
      </c>
      <c r="F82" s="4">
        <f t="shared" ca="1" si="33"/>
        <v>0</v>
      </c>
      <c r="G82" s="4">
        <f t="shared" ca="1" si="34"/>
        <v>0</v>
      </c>
      <c r="H82" s="4">
        <f t="shared" si="35"/>
        <v>0</v>
      </c>
      <c r="I82" s="4">
        <f t="shared" ca="1" si="36"/>
        <v>0</v>
      </c>
      <c r="J82" s="4">
        <f t="shared" ca="1" si="37"/>
        <v>0</v>
      </c>
      <c r="K82" s="4">
        <f t="shared" ca="1" si="38"/>
        <v>0</v>
      </c>
      <c r="L82" s="4">
        <f t="shared" ca="1" si="39"/>
        <v>0</v>
      </c>
      <c r="M82" s="4">
        <f t="shared" ca="1" si="40"/>
        <v>0</v>
      </c>
      <c r="N82" s="4" t="str">
        <f t="shared" si="16"/>
        <v/>
      </c>
      <c r="O82" s="4" t="str">
        <f t="shared" si="17"/>
        <v/>
      </c>
    </row>
    <row r="83" spans="1:15">
      <c r="A83">
        <f t="shared" si="41"/>
        <v>78</v>
      </c>
      <c r="B83" t="str">
        <f t="shared" si="29"/>
        <v/>
      </c>
      <c r="C83" s="3">
        <f t="shared" si="30"/>
        <v>0</v>
      </c>
      <c r="D83" s="4">
        <f t="shared" ca="1" si="31"/>
        <v>0</v>
      </c>
      <c r="E83" s="4">
        <f t="shared" ca="1" si="32"/>
        <v>0</v>
      </c>
      <c r="F83" s="4">
        <f t="shared" ca="1" si="33"/>
        <v>0</v>
      </c>
      <c r="G83" s="4">
        <f t="shared" ca="1" si="34"/>
        <v>0</v>
      </c>
      <c r="H83" s="4">
        <f t="shared" si="35"/>
        <v>0</v>
      </c>
      <c r="I83" s="4">
        <f t="shared" ca="1" si="36"/>
        <v>0</v>
      </c>
      <c r="J83" s="4">
        <f t="shared" ca="1" si="37"/>
        <v>0</v>
      </c>
      <c r="K83" s="4">
        <f t="shared" ca="1" si="38"/>
        <v>0</v>
      </c>
      <c r="L83" s="4">
        <f t="shared" ca="1" si="39"/>
        <v>0</v>
      </c>
      <c r="M83" s="4">
        <f t="shared" ca="1" si="40"/>
        <v>0</v>
      </c>
      <c r="N83" s="4" t="str">
        <f t="shared" si="16"/>
        <v/>
      </c>
      <c r="O83" s="4" t="str">
        <f t="shared" si="17"/>
        <v/>
      </c>
    </row>
    <row r="84" spans="1:15">
      <c r="A84">
        <f t="shared" si="41"/>
        <v>79</v>
      </c>
      <c r="B84" t="str">
        <f t="shared" si="29"/>
        <v/>
      </c>
      <c r="C84" s="3">
        <f t="shared" si="30"/>
        <v>0</v>
      </c>
      <c r="D84" s="4">
        <f t="shared" ca="1" si="31"/>
        <v>0</v>
      </c>
      <c r="E84" s="4">
        <f t="shared" ca="1" si="32"/>
        <v>0</v>
      </c>
      <c r="F84" s="4">
        <f t="shared" ca="1" si="33"/>
        <v>0</v>
      </c>
      <c r="G84" s="4">
        <f t="shared" ca="1" si="34"/>
        <v>0</v>
      </c>
      <c r="H84" s="4">
        <f t="shared" si="35"/>
        <v>0</v>
      </c>
      <c r="I84" s="4">
        <f t="shared" ca="1" si="36"/>
        <v>0</v>
      </c>
      <c r="J84" s="4">
        <f t="shared" ca="1" si="37"/>
        <v>0</v>
      </c>
      <c r="K84" s="4">
        <f t="shared" ca="1" si="38"/>
        <v>0</v>
      </c>
      <c r="L84" s="4">
        <f t="shared" ca="1" si="39"/>
        <v>0</v>
      </c>
      <c r="M84" s="4">
        <f t="shared" ca="1" si="40"/>
        <v>0</v>
      </c>
      <c r="N84" s="4" t="str">
        <f t="shared" si="16"/>
        <v/>
      </c>
      <c r="O84" s="4" t="str">
        <f t="shared" si="17"/>
        <v/>
      </c>
    </row>
    <row r="85" spans="1:15">
      <c r="A85">
        <f t="shared" si="41"/>
        <v>80</v>
      </c>
      <c r="B85" t="str">
        <f t="shared" si="29"/>
        <v/>
      </c>
      <c r="C85" s="3">
        <f t="shared" si="30"/>
        <v>0</v>
      </c>
      <c r="D85" s="4">
        <f t="shared" ca="1" si="31"/>
        <v>0</v>
      </c>
      <c r="E85" s="4">
        <f t="shared" ca="1" si="32"/>
        <v>0</v>
      </c>
      <c r="F85" s="4">
        <f t="shared" ca="1" si="33"/>
        <v>0</v>
      </c>
      <c r="G85" s="4">
        <f t="shared" ca="1" si="34"/>
        <v>0</v>
      </c>
      <c r="H85" s="4">
        <f t="shared" si="35"/>
        <v>0</v>
      </c>
      <c r="I85" s="4">
        <f t="shared" ca="1" si="36"/>
        <v>0</v>
      </c>
      <c r="J85" s="4">
        <f t="shared" ca="1" si="37"/>
        <v>0</v>
      </c>
      <c r="K85" s="4">
        <f t="shared" ca="1" si="38"/>
        <v>0</v>
      </c>
      <c r="L85" s="4">
        <f t="shared" ca="1" si="39"/>
        <v>0</v>
      </c>
      <c r="M85" s="4">
        <f t="shared" ca="1" si="40"/>
        <v>0</v>
      </c>
      <c r="N85" s="4" t="str">
        <f t="shared" si="16"/>
        <v/>
      </c>
      <c r="O85" s="4" t="str">
        <f t="shared" si="17"/>
        <v/>
      </c>
    </row>
    <row r="86" spans="1:15">
      <c r="A86">
        <f t="shared" si="41"/>
        <v>81</v>
      </c>
      <c r="B86" t="str">
        <f t="shared" si="29"/>
        <v/>
      </c>
      <c r="C86" s="3">
        <f t="shared" si="30"/>
        <v>0</v>
      </c>
      <c r="D86" s="4">
        <f t="shared" ca="1" si="31"/>
        <v>0</v>
      </c>
      <c r="E86" s="4">
        <f t="shared" ca="1" si="32"/>
        <v>0</v>
      </c>
      <c r="F86" s="4">
        <f t="shared" ca="1" si="33"/>
        <v>0</v>
      </c>
      <c r="G86" s="4">
        <f t="shared" ca="1" si="34"/>
        <v>0</v>
      </c>
      <c r="H86" s="4">
        <f t="shared" si="35"/>
        <v>0</v>
      </c>
      <c r="I86" s="4">
        <f t="shared" ca="1" si="36"/>
        <v>0</v>
      </c>
      <c r="J86" s="4">
        <f t="shared" ca="1" si="37"/>
        <v>0</v>
      </c>
      <c r="K86" s="4">
        <f t="shared" ca="1" si="38"/>
        <v>0</v>
      </c>
      <c r="L86" s="4">
        <f t="shared" ca="1" si="39"/>
        <v>0</v>
      </c>
      <c r="M86" s="4">
        <f t="shared" ca="1" si="40"/>
        <v>0</v>
      </c>
      <c r="N86" s="4" t="str">
        <f t="shared" si="16"/>
        <v/>
      </c>
      <c r="O86" s="4" t="str">
        <f t="shared" si="17"/>
        <v/>
      </c>
    </row>
    <row r="87" spans="1:15">
      <c r="A87">
        <f t="shared" si="41"/>
        <v>82</v>
      </c>
      <c r="B87" t="str">
        <f t="shared" si="29"/>
        <v/>
      </c>
      <c r="C87" s="3">
        <f t="shared" si="30"/>
        <v>0</v>
      </c>
      <c r="D87" s="4">
        <f t="shared" ca="1" si="31"/>
        <v>0</v>
      </c>
      <c r="E87" s="4">
        <f t="shared" ca="1" si="32"/>
        <v>0</v>
      </c>
      <c r="F87" s="4">
        <f t="shared" ca="1" si="33"/>
        <v>0</v>
      </c>
      <c r="G87" s="4">
        <f t="shared" ca="1" si="34"/>
        <v>0</v>
      </c>
      <c r="H87" s="4">
        <f t="shared" si="35"/>
        <v>0</v>
      </c>
      <c r="I87" s="4">
        <f t="shared" ca="1" si="36"/>
        <v>0</v>
      </c>
      <c r="J87" s="4">
        <f t="shared" ca="1" si="37"/>
        <v>0</v>
      </c>
      <c r="K87" s="4">
        <f t="shared" ca="1" si="38"/>
        <v>0</v>
      </c>
      <c r="L87" s="4">
        <f t="shared" ca="1" si="39"/>
        <v>0</v>
      </c>
      <c r="M87" s="4">
        <f t="shared" ca="1" si="40"/>
        <v>0</v>
      </c>
      <c r="N87" s="4" t="str">
        <f t="shared" si="16"/>
        <v/>
      </c>
      <c r="O87" s="4" t="str">
        <f t="shared" si="17"/>
        <v/>
      </c>
    </row>
    <row r="88" spans="1:15">
      <c r="A88">
        <f t="shared" si="41"/>
        <v>83</v>
      </c>
      <c r="B88" t="str">
        <f t="shared" si="29"/>
        <v/>
      </c>
      <c r="C88" s="3">
        <f t="shared" si="30"/>
        <v>0</v>
      </c>
      <c r="D88" s="4">
        <f t="shared" ca="1" si="31"/>
        <v>0</v>
      </c>
      <c r="E88" s="4">
        <f t="shared" ca="1" si="32"/>
        <v>0</v>
      </c>
      <c r="F88" s="4">
        <f t="shared" ca="1" si="33"/>
        <v>0</v>
      </c>
      <c r="G88" s="4">
        <f t="shared" ca="1" si="34"/>
        <v>0</v>
      </c>
      <c r="H88" s="4">
        <f t="shared" si="35"/>
        <v>0</v>
      </c>
      <c r="I88" s="4">
        <f t="shared" ca="1" si="36"/>
        <v>0</v>
      </c>
      <c r="J88" s="4">
        <f t="shared" ca="1" si="37"/>
        <v>0</v>
      </c>
      <c r="K88" s="4">
        <f t="shared" ca="1" si="38"/>
        <v>0</v>
      </c>
      <c r="L88" s="4">
        <f t="shared" ca="1" si="39"/>
        <v>0</v>
      </c>
      <c r="M88" s="4">
        <f t="shared" ca="1" si="40"/>
        <v>0</v>
      </c>
      <c r="N88" s="4" t="str">
        <f t="shared" si="16"/>
        <v/>
      </c>
      <c r="O88" s="4" t="str">
        <f t="shared" si="17"/>
        <v/>
      </c>
    </row>
    <row r="89" spans="1:15">
      <c r="A89">
        <f t="shared" si="41"/>
        <v>84</v>
      </c>
      <c r="B89" t="str">
        <f t="shared" si="29"/>
        <v/>
      </c>
      <c r="C89" s="3">
        <f t="shared" si="30"/>
        <v>0</v>
      </c>
      <c r="D89" s="4">
        <f t="shared" ca="1" si="31"/>
        <v>0</v>
      </c>
      <c r="E89" s="4">
        <f t="shared" ca="1" si="32"/>
        <v>0</v>
      </c>
      <c r="F89" s="4">
        <f t="shared" ca="1" si="33"/>
        <v>0</v>
      </c>
      <c r="G89" s="4">
        <f t="shared" ca="1" si="34"/>
        <v>0</v>
      </c>
      <c r="H89" s="4">
        <f t="shared" si="35"/>
        <v>0</v>
      </c>
      <c r="I89" s="4">
        <f t="shared" ca="1" si="36"/>
        <v>0</v>
      </c>
      <c r="J89" s="4">
        <f t="shared" ca="1" si="37"/>
        <v>0</v>
      </c>
      <c r="K89" s="4">
        <f t="shared" ca="1" si="38"/>
        <v>0</v>
      </c>
      <c r="L89" s="4">
        <f t="shared" ca="1" si="39"/>
        <v>0</v>
      </c>
      <c r="M89" s="4">
        <f t="shared" ca="1" si="40"/>
        <v>0</v>
      </c>
      <c r="N89" s="4" t="str">
        <f t="shared" si="16"/>
        <v/>
      </c>
      <c r="O89" s="4" t="str">
        <f t="shared" si="17"/>
        <v/>
      </c>
    </row>
    <row r="90" spans="1:15">
      <c r="A90">
        <f t="shared" si="41"/>
        <v>85</v>
      </c>
      <c r="B90" t="str">
        <f t="shared" si="29"/>
        <v/>
      </c>
      <c r="C90" s="3">
        <f t="shared" si="30"/>
        <v>0</v>
      </c>
      <c r="D90" s="4">
        <f t="shared" ca="1" si="31"/>
        <v>0</v>
      </c>
      <c r="E90" s="4">
        <f t="shared" ca="1" si="32"/>
        <v>0</v>
      </c>
      <c r="F90" s="4">
        <f t="shared" ca="1" si="33"/>
        <v>0</v>
      </c>
      <c r="G90" s="4">
        <f t="shared" ca="1" si="34"/>
        <v>0</v>
      </c>
      <c r="H90" s="4">
        <f t="shared" si="35"/>
        <v>0</v>
      </c>
      <c r="I90" s="4">
        <f t="shared" ca="1" si="36"/>
        <v>0</v>
      </c>
      <c r="J90" s="4">
        <f t="shared" ca="1" si="37"/>
        <v>0</v>
      </c>
      <c r="K90" s="4">
        <f t="shared" ca="1" si="38"/>
        <v>0</v>
      </c>
      <c r="L90" s="4">
        <f t="shared" ca="1" si="39"/>
        <v>0</v>
      </c>
      <c r="M90" s="4">
        <f t="shared" ca="1" si="40"/>
        <v>0</v>
      </c>
      <c r="N90" s="4" t="str">
        <f t="shared" si="16"/>
        <v/>
      </c>
      <c r="O90" s="4" t="str">
        <f t="shared" si="17"/>
        <v/>
      </c>
    </row>
    <row r="91" spans="1:15">
      <c r="A91">
        <f t="shared" si="41"/>
        <v>86</v>
      </c>
      <c r="B91" t="str">
        <f t="shared" si="29"/>
        <v/>
      </c>
      <c r="C91" s="3">
        <f t="shared" si="30"/>
        <v>0</v>
      </c>
      <c r="D91" s="4">
        <f t="shared" ca="1" si="31"/>
        <v>0</v>
      </c>
      <c r="E91" s="4">
        <f t="shared" ca="1" si="32"/>
        <v>0</v>
      </c>
      <c r="F91" s="4">
        <f t="shared" ca="1" si="33"/>
        <v>0</v>
      </c>
      <c r="G91" s="4">
        <f t="shared" ca="1" si="34"/>
        <v>0</v>
      </c>
      <c r="H91" s="4">
        <f t="shared" si="35"/>
        <v>0</v>
      </c>
      <c r="I91" s="4">
        <f t="shared" ca="1" si="36"/>
        <v>0</v>
      </c>
      <c r="J91" s="4">
        <f t="shared" ca="1" si="37"/>
        <v>0</v>
      </c>
      <c r="K91" s="4">
        <f t="shared" ca="1" si="38"/>
        <v>0</v>
      </c>
      <c r="L91" s="4">
        <f t="shared" ca="1" si="39"/>
        <v>0</v>
      </c>
      <c r="M91" s="4">
        <f t="shared" ca="1" si="40"/>
        <v>0</v>
      </c>
      <c r="N91" s="4" t="str">
        <f t="shared" si="16"/>
        <v/>
      </c>
      <c r="O91" s="4" t="str">
        <f t="shared" si="17"/>
        <v/>
      </c>
    </row>
    <row r="92" spans="1:15">
      <c r="A92">
        <f t="shared" si="41"/>
        <v>87</v>
      </c>
      <c r="B92" t="str">
        <f t="shared" si="29"/>
        <v/>
      </c>
      <c r="C92" s="3">
        <f t="shared" si="30"/>
        <v>0</v>
      </c>
      <c r="D92" s="4">
        <f t="shared" ca="1" si="31"/>
        <v>0</v>
      </c>
      <c r="E92" s="4">
        <f t="shared" ca="1" si="32"/>
        <v>0</v>
      </c>
      <c r="F92" s="4">
        <f t="shared" ca="1" si="33"/>
        <v>0</v>
      </c>
      <c r="G92" s="4">
        <f t="shared" ca="1" si="34"/>
        <v>0</v>
      </c>
      <c r="H92" s="4">
        <f t="shared" si="35"/>
        <v>0</v>
      </c>
      <c r="I92" s="4">
        <f t="shared" ca="1" si="36"/>
        <v>0</v>
      </c>
      <c r="J92" s="4">
        <f t="shared" ca="1" si="37"/>
        <v>0</v>
      </c>
      <c r="K92" s="4">
        <f t="shared" ca="1" si="38"/>
        <v>0</v>
      </c>
      <c r="L92" s="4">
        <f t="shared" ca="1" si="39"/>
        <v>0</v>
      </c>
      <c r="M92" s="4">
        <f t="shared" ca="1" si="40"/>
        <v>0</v>
      </c>
      <c r="N92" s="4" t="str">
        <f t="shared" si="16"/>
        <v/>
      </c>
      <c r="O92" s="4" t="str">
        <f t="shared" si="17"/>
        <v/>
      </c>
    </row>
    <row r="93" spans="1:15">
      <c r="A93">
        <f t="shared" si="41"/>
        <v>88</v>
      </c>
      <c r="B93" t="str">
        <f t="shared" si="29"/>
        <v/>
      </c>
      <c r="C93" s="3">
        <f t="shared" si="30"/>
        <v>0</v>
      </c>
      <c r="D93" s="4">
        <f t="shared" ca="1" si="31"/>
        <v>0</v>
      </c>
      <c r="E93" s="4">
        <f t="shared" ca="1" si="32"/>
        <v>0</v>
      </c>
      <c r="F93" s="4">
        <f t="shared" ca="1" si="33"/>
        <v>0</v>
      </c>
      <c r="G93" s="4">
        <f t="shared" ca="1" si="34"/>
        <v>0</v>
      </c>
      <c r="H93" s="4">
        <f t="shared" si="35"/>
        <v>0</v>
      </c>
      <c r="I93" s="4">
        <f t="shared" ca="1" si="36"/>
        <v>0</v>
      </c>
      <c r="J93" s="4">
        <f t="shared" ca="1" si="37"/>
        <v>0</v>
      </c>
      <c r="K93" s="4">
        <f t="shared" ca="1" si="38"/>
        <v>0</v>
      </c>
      <c r="L93" s="4">
        <f t="shared" ca="1" si="39"/>
        <v>0</v>
      </c>
      <c r="M93" s="4">
        <f t="shared" ca="1" si="40"/>
        <v>0</v>
      </c>
      <c r="N93" s="4" t="str">
        <f t="shared" si="16"/>
        <v/>
      </c>
      <c r="O93" s="4" t="str">
        <f t="shared" si="17"/>
        <v/>
      </c>
    </row>
    <row r="94" spans="1:15">
      <c r="A94">
        <f t="shared" si="41"/>
        <v>89</v>
      </c>
      <c r="B94" t="str">
        <f t="shared" si="29"/>
        <v/>
      </c>
      <c r="C94" s="3">
        <f t="shared" si="30"/>
        <v>0</v>
      </c>
      <c r="D94" s="4">
        <f t="shared" ca="1" si="31"/>
        <v>0</v>
      </c>
      <c r="E94" s="4">
        <f t="shared" ca="1" si="32"/>
        <v>0</v>
      </c>
      <c r="F94" s="4">
        <f t="shared" ca="1" si="33"/>
        <v>0</v>
      </c>
      <c r="G94" s="4">
        <f t="shared" ca="1" si="34"/>
        <v>0</v>
      </c>
      <c r="H94" s="4">
        <f t="shared" si="35"/>
        <v>0</v>
      </c>
      <c r="I94" s="4">
        <f t="shared" ca="1" si="36"/>
        <v>0</v>
      </c>
      <c r="J94" s="4">
        <f t="shared" ca="1" si="37"/>
        <v>0</v>
      </c>
      <c r="K94" s="4">
        <f t="shared" ca="1" si="38"/>
        <v>0</v>
      </c>
      <c r="L94" s="4">
        <f t="shared" ca="1" si="39"/>
        <v>0</v>
      </c>
      <c r="M94" s="4">
        <f t="shared" ca="1" si="40"/>
        <v>0</v>
      </c>
      <c r="N94" s="4" t="str">
        <f t="shared" si="16"/>
        <v/>
      </c>
      <c r="O94" s="4" t="str">
        <f t="shared" si="17"/>
        <v/>
      </c>
    </row>
    <row r="95" spans="1:15">
      <c r="A95">
        <f t="shared" si="41"/>
        <v>90</v>
      </c>
      <c r="B95" t="str">
        <f t="shared" si="29"/>
        <v/>
      </c>
      <c r="C95" s="3">
        <f t="shared" si="30"/>
        <v>0</v>
      </c>
      <c r="D95" s="4">
        <f t="shared" ca="1" si="31"/>
        <v>0</v>
      </c>
      <c r="E95" s="4">
        <f t="shared" ca="1" si="32"/>
        <v>0</v>
      </c>
      <c r="F95" s="4">
        <f t="shared" ca="1" si="33"/>
        <v>0</v>
      </c>
      <c r="G95" s="4">
        <f t="shared" ca="1" si="34"/>
        <v>0</v>
      </c>
      <c r="H95" s="4">
        <f t="shared" si="35"/>
        <v>0</v>
      </c>
      <c r="I95" s="4">
        <f t="shared" ca="1" si="36"/>
        <v>0</v>
      </c>
      <c r="J95" s="4">
        <f t="shared" ca="1" si="37"/>
        <v>0</v>
      </c>
      <c r="K95" s="4">
        <f t="shared" ca="1" si="38"/>
        <v>0</v>
      </c>
      <c r="L95" s="4">
        <f t="shared" ca="1" si="39"/>
        <v>0</v>
      </c>
      <c r="M95" s="4">
        <f t="shared" ca="1" si="40"/>
        <v>0</v>
      </c>
      <c r="N95" s="4" t="str">
        <f t="shared" si="16"/>
        <v/>
      </c>
      <c r="O95" s="4" t="str">
        <f t="shared" si="17"/>
        <v/>
      </c>
    </row>
    <row r="96" spans="1:15">
      <c r="A96">
        <f t="shared" si="41"/>
        <v>91</v>
      </c>
      <c r="B96" t="str">
        <f t="shared" si="29"/>
        <v/>
      </c>
      <c r="C96" s="3">
        <f t="shared" si="30"/>
        <v>0</v>
      </c>
      <c r="D96" s="4">
        <f t="shared" ca="1" si="31"/>
        <v>0</v>
      </c>
      <c r="E96" s="4">
        <f t="shared" ca="1" si="32"/>
        <v>0</v>
      </c>
      <c r="F96" s="4">
        <f t="shared" ca="1" si="33"/>
        <v>0</v>
      </c>
      <c r="G96" s="4">
        <f t="shared" ca="1" si="34"/>
        <v>0</v>
      </c>
      <c r="H96" s="4">
        <f t="shared" si="35"/>
        <v>0</v>
      </c>
      <c r="I96" s="4">
        <f t="shared" ca="1" si="36"/>
        <v>0</v>
      </c>
      <c r="J96" s="4">
        <f t="shared" ca="1" si="37"/>
        <v>0</v>
      </c>
      <c r="K96" s="4">
        <f t="shared" ca="1" si="38"/>
        <v>0</v>
      </c>
      <c r="L96" s="4">
        <f t="shared" ca="1" si="39"/>
        <v>0</v>
      </c>
      <c r="M96" s="4">
        <f t="shared" ca="1" si="40"/>
        <v>0</v>
      </c>
      <c r="N96" s="4" t="str">
        <f t="shared" si="16"/>
        <v/>
      </c>
      <c r="O96" s="4" t="str">
        <f t="shared" si="17"/>
        <v/>
      </c>
    </row>
    <row r="97" spans="1:15">
      <c r="A97">
        <f t="shared" si="41"/>
        <v>92</v>
      </c>
      <c r="B97" t="str">
        <f t="shared" si="29"/>
        <v/>
      </c>
      <c r="C97" s="3">
        <f t="shared" si="30"/>
        <v>0</v>
      </c>
      <c r="D97" s="4">
        <f t="shared" ca="1" si="31"/>
        <v>0</v>
      </c>
      <c r="E97" s="4">
        <f t="shared" ca="1" si="32"/>
        <v>0</v>
      </c>
      <c r="F97" s="4">
        <f t="shared" ca="1" si="33"/>
        <v>0</v>
      </c>
      <c r="G97" s="4">
        <f t="shared" ca="1" si="34"/>
        <v>0</v>
      </c>
      <c r="H97" s="4">
        <f t="shared" si="35"/>
        <v>0</v>
      </c>
      <c r="I97" s="4">
        <f t="shared" ca="1" si="36"/>
        <v>0</v>
      </c>
      <c r="J97" s="4">
        <f t="shared" ca="1" si="37"/>
        <v>0</v>
      </c>
      <c r="K97" s="4">
        <f t="shared" ca="1" si="38"/>
        <v>0</v>
      </c>
      <c r="L97" s="4">
        <f t="shared" ca="1" si="39"/>
        <v>0</v>
      </c>
      <c r="M97" s="4">
        <f t="shared" ca="1" si="40"/>
        <v>0</v>
      </c>
      <c r="N97" s="4" t="str">
        <f t="shared" si="16"/>
        <v/>
      </c>
      <c r="O97" s="4" t="str">
        <f t="shared" si="17"/>
        <v/>
      </c>
    </row>
    <row r="98" spans="1:15">
      <c r="A98">
        <f t="shared" si="41"/>
        <v>93</v>
      </c>
      <c r="B98" t="str">
        <f t="shared" si="29"/>
        <v/>
      </c>
      <c r="C98" s="3">
        <f t="shared" si="30"/>
        <v>0</v>
      </c>
      <c r="D98" s="4">
        <f t="shared" ca="1" si="31"/>
        <v>0</v>
      </c>
      <c r="E98" s="4">
        <f t="shared" ca="1" si="32"/>
        <v>0</v>
      </c>
      <c r="F98" s="4">
        <f t="shared" ca="1" si="33"/>
        <v>0</v>
      </c>
      <c r="G98" s="4">
        <f t="shared" ca="1" si="34"/>
        <v>0</v>
      </c>
      <c r="H98" s="4">
        <f t="shared" si="35"/>
        <v>0</v>
      </c>
      <c r="I98" s="4">
        <f t="shared" ca="1" si="36"/>
        <v>0</v>
      </c>
      <c r="J98" s="4">
        <f t="shared" ca="1" si="37"/>
        <v>0</v>
      </c>
      <c r="K98" s="4">
        <f t="shared" ca="1" si="38"/>
        <v>0</v>
      </c>
      <c r="L98" s="4">
        <f t="shared" ca="1" si="39"/>
        <v>0</v>
      </c>
      <c r="M98" s="4">
        <f t="shared" ca="1" si="40"/>
        <v>0</v>
      </c>
      <c r="N98" s="4" t="str">
        <f t="shared" si="16"/>
        <v/>
      </c>
      <c r="O98" s="4" t="str">
        <f t="shared" si="17"/>
        <v/>
      </c>
    </row>
    <row r="99" spans="1:15">
      <c r="A99">
        <f t="shared" si="41"/>
        <v>94</v>
      </c>
      <c r="B99" t="str">
        <f t="shared" si="29"/>
        <v/>
      </c>
      <c r="C99" s="3">
        <f t="shared" si="30"/>
        <v>0</v>
      </c>
      <c r="D99" s="4">
        <f t="shared" ca="1" si="31"/>
        <v>0</v>
      </c>
      <c r="E99" s="4">
        <f t="shared" ca="1" si="32"/>
        <v>0</v>
      </c>
      <c r="F99" s="4">
        <f t="shared" ca="1" si="33"/>
        <v>0</v>
      </c>
      <c r="G99" s="4">
        <f t="shared" ca="1" si="34"/>
        <v>0</v>
      </c>
      <c r="H99" s="4">
        <f t="shared" si="35"/>
        <v>0</v>
      </c>
      <c r="I99" s="4">
        <f t="shared" ca="1" si="36"/>
        <v>0</v>
      </c>
      <c r="J99" s="4">
        <f t="shared" ca="1" si="37"/>
        <v>0</v>
      </c>
      <c r="K99" s="4">
        <f t="shared" ca="1" si="38"/>
        <v>0</v>
      </c>
      <c r="L99" s="4">
        <f t="shared" ca="1" si="39"/>
        <v>0</v>
      </c>
      <c r="M99" s="4">
        <f t="shared" ca="1" si="40"/>
        <v>0</v>
      </c>
      <c r="N99" s="4" t="str">
        <f t="shared" si="16"/>
        <v/>
      </c>
      <c r="O99" s="4" t="str">
        <f t="shared" si="17"/>
        <v/>
      </c>
    </row>
    <row r="100" spans="1:15">
      <c r="A100">
        <f t="shared" si="41"/>
        <v>95</v>
      </c>
      <c r="B100" t="str">
        <f t="shared" si="29"/>
        <v/>
      </c>
      <c r="C100" s="3">
        <f t="shared" si="30"/>
        <v>0</v>
      </c>
      <c r="D100" s="4">
        <f t="shared" ca="1" si="31"/>
        <v>0</v>
      </c>
      <c r="E100" s="4">
        <f t="shared" ca="1" si="32"/>
        <v>0</v>
      </c>
      <c r="F100" s="4">
        <f t="shared" ca="1" si="33"/>
        <v>0</v>
      </c>
      <c r="G100" s="4">
        <f t="shared" ca="1" si="34"/>
        <v>0</v>
      </c>
      <c r="H100" s="4">
        <f t="shared" si="35"/>
        <v>0</v>
      </c>
      <c r="I100" s="4">
        <f t="shared" ca="1" si="36"/>
        <v>0</v>
      </c>
      <c r="J100" s="4">
        <f t="shared" ca="1" si="37"/>
        <v>0</v>
      </c>
      <c r="K100" s="4">
        <f t="shared" ca="1" si="38"/>
        <v>0</v>
      </c>
      <c r="L100" s="4">
        <f t="shared" ca="1" si="39"/>
        <v>0</v>
      </c>
      <c r="M100" s="4">
        <f t="shared" ca="1" si="40"/>
        <v>0</v>
      </c>
      <c r="N100" s="4" t="str">
        <f t="shared" ref="N100:N105" si="42">IF(ISNUMBER(B100),IF(L100&lt;0,L100,0),"")</f>
        <v/>
      </c>
      <c r="O100" s="4" t="str">
        <f t="shared" ref="O100:O105" si="43">IF(ISNUMBER(B100),IF(L100&gt;0,L100,0),"")</f>
        <v/>
      </c>
    </row>
    <row r="101" spans="1:15">
      <c r="A101">
        <f t="shared" si="41"/>
        <v>96</v>
      </c>
      <c r="B101" t="str">
        <f t="shared" si="29"/>
        <v/>
      </c>
      <c r="C101" s="3">
        <f t="shared" si="30"/>
        <v>0</v>
      </c>
      <c r="D101" s="4">
        <f t="shared" ca="1" si="31"/>
        <v>0</v>
      </c>
      <c r="E101" s="4">
        <f t="shared" ca="1" si="32"/>
        <v>0</v>
      </c>
      <c r="F101" s="4">
        <f t="shared" ca="1" si="33"/>
        <v>0</v>
      </c>
      <c r="G101" s="4">
        <f t="shared" ca="1" si="34"/>
        <v>0</v>
      </c>
      <c r="H101" s="4">
        <f t="shared" si="35"/>
        <v>0</v>
      </c>
      <c r="I101" s="4">
        <f t="shared" ca="1" si="36"/>
        <v>0</v>
      </c>
      <c r="J101" s="4">
        <f t="shared" ca="1" si="37"/>
        <v>0</v>
      </c>
      <c r="K101" s="4">
        <f t="shared" ca="1" si="38"/>
        <v>0</v>
      </c>
      <c r="L101" s="4">
        <f t="shared" ca="1" si="39"/>
        <v>0</v>
      </c>
      <c r="M101" s="4">
        <f t="shared" ca="1" si="40"/>
        <v>0</v>
      </c>
      <c r="N101" s="4" t="str">
        <f t="shared" si="42"/>
        <v/>
      </c>
      <c r="O101" s="4" t="str">
        <f t="shared" si="43"/>
        <v/>
      </c>
    </row>
    <row r="102" spans="1:15">
      <c r="A102">
        <f t="shared" si="41"/>
        <v>97</v>
      </c>
      <c r="B102" t="str">
        <f t="shared" si="29"/>
        <v/>
      </c>
      <c r="C102" s="3">
        <f t="shared" ref="C102:C105" si="44">IF(ISNUMBER(B102),$C$5-B102*_Degradation_pro_Jahr_Standard,0)</f>
        <v>0</v>
      </c>
      <c r="D102" s="4">
        <f t="shared" ref="D102:D105" ca="1" si="45">_Ertrag_Ges.Min*C102/100</f>
        <v>0</v>
      </c>
      <c r="E102" s="4">
        <f t="shared" ref="E102:E105" ca="1" si="46">D102*_ENG_Rechenwert/100</f>
        <v>0</v>
      </c>
      <c r="F102" s="4">
        <f t="shared" ref="F102:F105" ca="1" si="47">(D102-E102)*_Tarif_Rücklieferung/100</f>
        <v>0</v>
      </c>
      <c r="G102" s="4">
        <f t="shared" ca="1" si="34"/>
        <v>0</v>
      </c>
      <c r="H102" s="4">
        <f t="shared" si="35"/>
        <v>0</v>
      </c>
      <c r="I102" s="4">
        <f t="shared" ca="1" si="36"/>
        <v>0</v>
      </c>
      <c r="J102" s="4">
        <f t="shared" ca="1" si="37"/>
        <v>0</v>
      </c>
      <c r="K102" s="4">
        <f t="shared" ref="K102:K105" ca="1" si="48">SUM(F102:J102)</f>
        <v>0</v>
      </c>
      <c r="L102" s="4">
        <f t="shared" ref="L102:L105" ca="1" si="49">L101+K102</f>
        <v>0</v>
      </c>
      <c r="M102" s="4">
        <f t="shared" ref="M102:M105" ca="1" si="50">IF(AND(L101&lt;0,L102&gt;=0),B102,0)</f>
        <v>0</v>
      </c>
      <c r="N102" s="4" t="str">
        <f t="shared" si="42"/>
        <v/>
      </c>
      <c r="O102" s="4" t="str">
        <f t="shared" si="43"/>
        <v/>
      </c>
    </row>
    <row r="103" spans="1:15">
      <c r="A103">
        <f t="shared" si="41"/>
        <v>98</v>
      </c>
      <c r="B103" t="str">
        <f t="shared" si="29"/>
        <v/>
      </c>
      <c r="C103" s="3">
        <f t="shared" si="44"/>
        <v>0</v>
      </c>
      <c r="D103" s="4">
        <f t="shared" ca="1" si="45"/>
        <v>0</v>
      </c>
      <c r="E103" s="4">
        <f t="shared" ca="1" si="46"/>
        <v>0</v>
      </c>
      <c r="F103" s="4">
        <f t="shared" ca="1" si="47"/>
        <v>0</v>
      </c>
      <c r="G103" s="4">
        <f t="shared" ca="1" si="34"/>
        <v>0</v>
      </c>
      <c r="H103" s="4">
        <f t="shared" si="35"/>
        <v>0</v>
      </c>
      <c r="I103" s="4">
        <f t="shared" ca="1" si="36"/>
        <v>0</v>
      </c>
      <c r="J103" s="4">
        <f t="shared" ca="1" si="37"/>
        <v>0</v>
      </c>
      <c r="K103" s="4">
        <f t="shared" ca="1" si="48"/>
        <v>0</v>
      </c>
      <c r="L103" s="4">
        <f t="shared" ca="1" si="49"/>
        <v>0</v>
      </c>
      <c r="M103" s="4">
        <f t="shared" ca="1" si="50"/>
        <v>0</v>
      </c>
      <c r="N103" s="4" t="str">
        <f t="shared" si="42"/>
        <v/>
      </c>
      <c r="O103" s="4" t="str">
        <f t="shared" si="43"/>
        <v/>
      </c>
    </row>
    <row r="104" spans="1:15">
      <c r="A104">
        <f t="shared" si="41"/>
        <v>99</v>
      </c>
      <c r="B104" t="str">
        <f t="shared" si="29"/>
        <v/>
      </c>
      <c r="C104" s="3">
        <f t="shared" si="44"/>
        <v>0</v>
      </c>
      <c r="D104" s="4">
        <f t="shared" ca="1" si="45"/>
        <v>0</v>
      </c>
      <c r="E104" s="4">
        <f t="shared" ca="1" si="46"/>
        <v>0</v>
      </c>
      <c r="F104" s="4">
        <f t="shared" ca="1" si="47"/>
        <v>0</v>
      </c>
      <c r="G104" s="4">
        <f t="shared" ca="1" si="34"/>
        <v>0</v>
      </c>
      <c r="H104" s="4">
        <f t="shared" si="35"/>
        <v>0</v>
      </c>
      <c r="I104" s="4">
        <f t="shared" ca="1" si="36"/>
        <v>0</v>
      </c>
      <c r="J104" s="4">
        <f t="shared" ca="1" si="37"/>
        <v>0</v>
      </c>
      <c r="K104" s="4">
        <f t="shared" ca="1" si="48"/>
        <v>0</v>
      </c>
      <c r="L104" s="4">
        <f t="shared" ca="1" si="49"/>
        <v>0</v>
      </c>
      <c r="M104" s="4">
        <f t="shared" ca="1" si="50"/>
        <v>0</v>
      </c>
      <c r="N104" s="4" t="str">
        <f t="shared" si="42"/>
        <v/>
      </c>
      <c r="O104" s="4" t="str">
        <f t="shared" si="43"/>
        <v/>
      </c>
    </row>
    <row r="105" spans="1:15">
      <c r="A105">
        <f t="shared" si="41"/>
        <v>100</v>
      </c>
      <c r="B105" t="str">
        <f t="shared" si="29"/>
        <v/>
      </c>
      <c r="C105" s="3">
        <f t="shared" si="44"/>
        <v>0</v>
      </c>
      <c r="D105" s="4">
        <f t="shared" ca="1" si="45"/>
        <v>0</v>
      </c>
      <c r="E105" s="4">
        <f t="shared" ca="1" si="46"/>
        <v>0</v>
      </c>
      <c r="F105" s="4">
        <f t="shared" ca="1" si="47"/>
        <v>0</v>
      </c>
      <c r="G105" s="4">
        <f t="shared" ca="1" si="34"/>
        <v>0</v>
      </c>
      <c r="H105" s="4">
        <f t="shared" si="35"/>
        <v>0</v>
      </c>
      <c r="I105" s="4">
        <f t="shared" ca="1" si="36"/>
        <v>0</v>
      </c>
      <c r="J105" s="4">
        <f t="shared" ca="1" si="37"/>
        <v>0</v>
      </c>
      <c r="K105" s="4">
        <f t="shared" ca="1" si="48"/>
        <v>0</v>
      </c>
      <c r="L105" s="4">
        <f t="shared" ca="1" si="49"/>
        <v>0</v>
      </c>
      <c r="M105" s="4">
        <f t="shared" ca="1" si="50"/>
        <v>0</v>
      </c>
      <c r="N105" s="4" t="str">
        <f t="shared" si="42"/>
        <v/>
      </c>
      <c r="O105" s="4" t="str">
        <f t="shared" si="43"/>
        <v/>
      </c>
    </row>
    <row r="123" spans="4:4">
      <c r="D123" s="7"/>
    </row>
  </sheetData>
  <sheetProtection algorithmName="SHA-512" hashValue="MZy6LIyzW3LsenQ15r08U+jeHn6mNXvkg9cLiW2ilYCr5+ocQn0kJKz1Yb6trgd/ohiUP8afcMR/B2rqBeDVXg==" saltValue="fvrmjAfbsbwESkE+n7W0fw==" spinCount="100000" sheet="1" objects="1" scenarios="1" autoFilter="0"/>
  <pageMargins left="0.7" right="0.7" top="0.78740157499999996" bottom="0.78740157499999996"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AL29"/>
  <sheetViews>
    <sheetView workbookViewId="0"/>
  </sheetViews>
  <sheetFormatPr baseColWidth="10" defaultRowHeight="15"/>
  <cols>
    <col min="1" max="1" width="17.140625" customWidth="1"/>
    <col min="2" max="38" width="6.140625" customWidth="1"/>
  </cols>
  <sheetData>
    <row r="1" spans="1:38">
      <c r="A1" s="261" t="s">
        <v>52</v>
      </c>
      <c r="B1">
        <f>C4-B4</f>
        <v>10</v>
      </c>
      <c r="C1" t="s">
        <v>54</v>
      </c>
    </row>
    <row r="2" spans="1:38">
      <c r="A2" t="s">
        <v>53</v>
      </c>
      <c r="B2">
        <f>A6-A5</f>
        <v>5</v>
      </c>
      <c r="C2" t="s">
        <v>54</v>
      </c>
    </row>
    <row r="3" spans="1:38">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row>
    <row r="4" spans="1:38">
      <c r="A4" t="s">
        <v>211</v>
      </c>
      <c r="B4" s="22">
        <v>-180</v>
      </c>
      <c r="C4" s="22">
        <v>-170</v>
      </c>
      <c r="D4" s="22">
        <v>-160</v>
      </c>
      <c r="E4" s="22">
        <v>-150</v>
      </c>
      <c r="F4" s="22">
        <v>-140</v>
      </c>
      <c r="G4" s="22">
        <v>-130</v>
      </c>
      <c r="H4" s="22">
        <v>-120</v>
      </c>
      <c r="I4">
        <v>-110</v>
      </c>
      <c r="J4">
        <v>-100</v>
      </c>
      <c r="K4">
        <v>-90</v>
      </c>
      <c r="L4">
        <v>-80</v>
      </c>
      <c r="M4">
        <v>-70</v>
      </c>
      <c r="N4">
        <v>-60</v>
      </c>
      <c r="O4">
        <v>-50</v>
      </c>
      <c r="P4">
        <v>-40</v>
      </c>
      <c r="Q4">
        <v>-30</v>
      </c>
      <c r="R4">
        <v>-20</v>
      </c>
      <c r="S4">
        <v>-10</v>
      </c>
      <c r="T4">
        <v>0</v>
      </c>
      <c r="U4">
        <v>10</v>
      </c>
      <c r="V4">
        <v>20</v>
      </c>
      <c r="W4">
        <v>30</v>
      </c>
      <c r="X4">
        <v>40</v>
      </c>
      <c r="Y4">
        <v>50</v>
      </c>
      <c r="Z4">
        <v>60</v>
      </c>
      <c r="AA4">
        <v>70</v>
      </c>
      <c r="AB4">
        <v>80</v>
      </c>
      <c r="AC4">
        <v>90</v>
      </c>
      <c r="AD4">
        <v>100</v>
      </c>
      <c r="AE4">
        <v>110</v>
      </c>
      <c r="AF4">
        <v>120</v>
      </c>
      <c r="AG4">
        <v>130</v>
      </c>
      <c r="AH4">
        <v>140</v>
      </c>
      <c r="AI4">
        <v>150</v>
      </c>
      <c r="AJ4">
        <v>160</v>
      </c>
      <c r="AK4">
        <v>170</v>
      </c>
      <c r="AL4">
        <v>180</v>
      </c>
    </row>
    <row r="5" spans="1:38">
      <c r="A5">
        <v>0</v>
      </c>
      <c r="B5" s="2">
        <v>1</v>
      </c>
      <c r="C5" s="2">
        <v>1</v>
      </c>
      <c r="D5" s="2">
        <v>1</v>
      </c>
      <c r="E5" s="2">
        <v>1</v>
      </c>
      <c r="F5" s="2">
        <v>1</v>
      </c>
      <c r="G5" s="2">
        <v>1</v>
      </c>
      <c r="H5" s="2">
        <v>1</v>
      </c>
      <c r="I5" s="2">
        <v>1</v>
      </c>
      <c r="J5" s="2">
        <v>1</v>
      </c>
      <c r="K5" s="2">
        <v>1</v>
      </c>
      <c r="L5" s="2">
        <v>1</v>
      </c>
      <c r="M5" s="2">
        <v>1</v>
      </c>
      <c r="N5" s="2">
        <v>1</v>
      </c>
      <c r="O5" s="2">
        <v>1</v>
      </c>
      <c r="P5" s="2">
        <v>1</v>
      </c>
      <c r="Q5" s="2">
        <v>1</v>
      </c>
      <c r="R5" s="2">
        <v>1</v>
      </c>
      <c r="S5" s="2">
        <v>1</v>
      </c>
      <c r="T5" s="2">
        <v>1</v>
      </c>
      <c r="U5" s="2">
        <v>1</v>
      </c>
      <c r="V5" s="2">
        <v>1</v>
      </c>
      <c r="W5" s="2">
        <v>1</v>
      </c>
      <c r="X5" s="2">
        <v>1</v>
      </c>
      <c r="Y5" s="2">
        <v>1</v>
      </c>
      <c r="Z5" s="2">
        <v>1</v>
      </c>
      <c r="AA5" s="2">
        <v>1</v>
      </c>
      <c r="AB5" s="2">
        <v>1</v>
      </c>
      <c r="AC5" s="2">
        <v>1</v>
      </c>
      <c r="AD5" s="2">
        <v>1</v>
      </c>
      <c r="AE5" s="2">
        <v>1</v>
      </c>
      <c r="AF5" s="2">
        <v>1</v>
      </c>
      <c r="AG5" s="2">
        <v>1</v>
      </c>
      <c r="AH5" s="2">
        <v>1</v>
      </c>
      <c r="AI5" s="2">
        <v>1</v>
      </c>
      <c r="AJ5" s="2">
        <v>1</v>
      </c>
      <c r="AK5" s="2">
        <v>1</v>
      </c>
      <c r="AL5" s="2">
        <v>1</v>
      </c>
    </row>
    <row r="6" spans="1:38">
      <c r="A6">
        <v>5</v>
      </c>
      <c r="B6" s="2">
        <v>0.95889567477950399</v>
      </c>
      <c r="C6" s="2">
        <v>0.96010765989840097</v>
      </c>
      <c r="D6" s="2">
        <v>0.962474130097418</v>
      </c>
      <c r="E6" s="2">
        <v>0.96591220445654402</v>
      </c>
      <c r="F6" s="2">
        <v>0.97031261683159897</v>
      </c>
      <c r="G6" s="2">
        <v>0.97553718395032296</v>
      </c>
      <c r="H6" s="2">
        <v>0.98142308407284595</v>
      </c>
      <c r="I6" s="2">
        <v>0.98779101202199404</v>
      </c>
      <c r="J6" s="2">
        <v>0.99444821020597496</v>
      </c>
      <c r="K6" s="2">
        <v>1.00119542749793</v>
      </c>
      <c r="L6" s="2">
        <v>1.0078273939220099</v>
      </c>
      <c r="M6" s="2">
        <v>1.0141421426359101</v>
      </c>
      <c r="N6" s="2">
        <v>1.0199509557174</v>
      </c>
      <c r="O6" s="2">
        <v>1.0250765287325301</v>
      </c>
      <c r="P6" s="2">
        <v>1.02936288073323</v>
      </c>
      <c r="Q6" s="2">
        <v>1.03267922243485</v>
      </c>
      <c r="R6" s="2">
        <v>1.0349242251731701</v>
      </c>
      <c r="S6" s="2">
        <v>1.0360320686117399</v>
      </c>
      <c r="T6" s="2">
        <v>1.0359772556679101</v>
      </c>
      <c r="U6" s="2">
        <v>1.0347705631331201</v>
      </c>
      <c r="V6" s="2">
        <v>1.03244842562047</v>
      </c>
      <c r="W6" s="2">
        <v>1.02907150896116</v>
      </c>
      <c r="X6" s="2">
        <v>1.0247428029593699</v>
      </c>
      <c r="Y6" s="2">
        <v>1.0195964967242801</v>
      </c>
      <c r="Z6" s="2">
        <v>1.01378632792649</v>
      </c>
      <c r="AA6" s="2">
        <v>1.00748517557816</v>
      </c>
      <c r="AB6" s="2">
        <v>1.0008765815345899</v>
      </c>
      <c r="AC6" s="2">
        <v>0.99414737707829404</v>
      </c>
      <c r="AD6" s="2">
        <v>0.987498029996841</v>
      </c>
      <c r="AE6" s="2">
        <v>0.98113151964305401</v>
      </c>
      <c r="AF6" s="2">
        <v>0.97525985775066504</v>
      </c>
      <c r="AG6" s="2">
        <v>0.97006791634681599</v>
      </c>
      <c r="AH6" s="2">
        <v>0.96571210287695297</v>
      </c>
      <c r="AI6" s="2">
        <v>0.96233057850858195</v>
      </c>
      <c r="AJ6" s="2">
        <v>0.96002910558517696</v>
      </c>
      <c r="AK6" s="2">
        <v>0.95887138460994303</v>
      </c>
      <c r="AL6" s="2">
        <v>0.95889567477950399</v>
      </c>
    </row>
    <row r="7" spans="1:38">
      <c r="A7">
        <v>10</v>
      </c>
      <c r="B7" s="2">
        <v>0.91323283143815903</v>
      </c>
      <c r="C7" s="2">
        <v>0.91564512350888605</v>
      </c>
      <c r="D7" s="2">
        <v>0.92051636708978102</v>
      </c>
      <c r="E7" s="2">
        <v>0.92757142065368103</v>
      </c>
      <c r="F7" s="2">
        <v>0.93652513241428803</v>
      </c>
      <c r="G7" s="2">
        <v>0.94707571072975205</v>
      </c>
      <c r="H7" s="2">
        <v>0.95888182209832495</v>
      </c>
      <c r="I7" s="2">
        <v>0.971569827917944</v>
      </c>
      <c r="J7" s="2">
        <v>0.98476337933675495</v>
      </c>
      <c r="K7" s="2">
        <v>0.99804924966520603</v>
      </c>
      <c r="L7" s="2">
        <v>1.01105566597399</v>
      </c>
      <c r="M7" s="2">
        <v>1.0234374052092601</v>
      </c>
      <c r="N7" s="2">
        <v>1.0348619542799899</v>
      </c>
      <c r="O7" s="2">
        <v>1.0449502343966099</v>
      </c>
      <c r="P7" s="2">
        <v>1.05339401168421</v>
      </c>
      <c r="Q7" s="2">
        <v>1.05995620245422</v>
      </c>
      <c r="R7" s="2">
        <v>1.0644134858580601</v>
      </c>
      <c r="S7" s="2">
        <v>1.06666340831747</v>
      </c>
      <c r="T7" s="2">
        <v>1.0666268658033</v>
      </c>
      <c r="U7" s="2">
        <v>1.06428514076759</v>
      </c>
      <c r="V7" s="2">
        <v>1.05973243190425</v>
      </c>
      <c r="W7" s="2">
        <v>1.0530987749154299</v>
      </c>
      <c r="X7" s="2">
        <v>1.0446364451764001</v>
      </c>
      <c r="Y7" s="2">
        <v>1.0345830176630899</v>
      </c>
      <c r="Z7" s="2">
        <v>1.0232255425272301</v>
      </c>
      <c r="AA7" s="2">
        <v>1.0108672260414799</v>
      </c>
      <c r="AB7" s="2">
        <v>0.99787618268383105</v>
      </c>
      <c r="AC7" s="2">
        <v>0.98465862180721597</v>
      </c>
      <c r="AD7" s="2">
        <v>0.97154795337095401</v>
      </c>
      <c r="AE7" s="2">
        <v>0.95891607252893696</v>
      </c>
      <c r="AF7" s="2">
        <v>0.94715528068642996</v>
      </c>
      <c r="AG7" s="2">
        <v>0.93662743306315599</v>
      </c>
      <c r="AH7" s="2">
        <v>0.92773088289709904</v>
      </c>
      <c r="AI7" s="2">
        <v>0.92075480156029599</v>
      </c>
      <c r="AJ7" s="2">
        <v>0.91589661092150698</v>
      </c>
      <c r="AK7" s="2">
        <v>0.91333626335070495</v>
      </c>
      <c r="AL7" s="2">
        <v>0.91323283143815903</v>
      </c>
    </row>
    <row r="8" spans="1:38">
      <c r="A8">
        <v>15</v>
      </c>
      <c r="B8" s="2">
        <v>0.86394476656294406</v>
      </c>
      <c r="C8" s="2">
        <v>0.86762582370667796</v>
      </c>
      <c r="D8" s="2">
        <v>0.87500026357790806</v>
      </c>
      <c r="E8" s="2">
        <v>0.88586201881286897</v>
      </c>
      <c r="F8" s="2">
        <v>0.89953675419429202</v>
      </c>
      <c r="G8" s="2">
        <v>0.91547733752955296</v>
      </c>
      <c r="H8" s="2">
        <v>0.93320153086358704</v>
      </c>
      <c r="I8" s="2">
        <v>0.95216051731963802</v>
      </c>
      <c r="J8" s="2">
        <v>0.97184475083868105</v>
      </c>
      <c r="K8" s="2">
        <v>0.99158189229492699</v>
      </c>
      <c r="L8" s="2">
        <v>1.0107735131075</v>
      </c>
      <c r="M8" s="2">
        <v>1.0288690018770099</v>
      </c>
      <c r="N8" s="2">
        <v>1.0454379200905199</v>
      </c>
      <c r="O8" s="2">
        <v>1.0601003387302701</v>
      </c>
      <c r="P8" s="2">
        <v>1.0723719403885199</v>
      </c>
      <c r="Q8" s="2">
        <v>1.0818377260950001</v>
      </c>
      <c r="R8" s="2">
        <v>1.08832626086611</v>
      </c>
      <c r="S8" s="2">
        <v>1.09167297625242</v>
      </c>
      <c r="T8" s="2">
        <v>1.09161785394656</v>
      </c>
      <c r="U8" s="2">
        <v>1.0882125744012601</v>
      </c>
      <c r="V8" s="2">
        <v>1.08154644248959</v>
      </c>
      <c r="W8" s="2">
        <v>1.0719152509193901</v>
      </c>
      <c r="X8" s="2">
        <v>1.05970667273138</v>
      </c>
      <c r="Y8" s="2">
        <v>1.04522054937577</v>
      </c>
      <c r="Z8" s="2">
        <v>1.02873730894114</v>
      </c>
      <c r="AA8" s="2">
        <v>1.01079687326123</v>
      </c>
      <c r="AB8" s="2">
        <v>0.99191086345115997</v>
      </c>
      <c r="AC8" s="2">
        <v>0.972461326569796</v>
      </c>
      <c r="AD8" s="2">
        <v>0.95294578399270102</v>
      </c>
      <c r="AE8" s="2">
        <v>0.93396491818454497</v>
      </c>
      <c r="AF8" s="2">
        <v>0.91629970089118495</v>
      </c>
      <c r="AG8" s="2">
        <v>0.90038901995869802</v>
      </c>
      <c r="AH8" s="2">
        <v>0.88674497801603003</v>
      </c>
      <c r="AI8" s="2">
        <v>0.87591625798375505</v>
      </c>
      <c r="AJ8" s="2">
        <v>0.86825602746389097</v>
      </c>
      <c r="AK8" s="2">
        <v>0.86420870151942197</v>
      </c>
      <c r="AL8" s="2">
        <v>0.86394476656294406</v>
      </c>
    </row>
    <row r="9" spans="1:38">
      <c r="A9">
        <v>20</v>
      </c>
      <c r="B9" s="2">
        <v>0.81243951476217102</v>
      </c>
      <c r="C9" s="2">
        <v>0.81732579946807404</v>
      </c>
      <c r="D9" s="2">
        <v>0.82737206539091501</v>
      </c>
      <c r="E9" s="2">
        <v>0.84206685065736198</v>
      </c>
      <c r="F9" s="2">
        <v>0.86056317996500598</v>
      </c>
      <c r="G9" s="2">
        <v>0.88196685006296505</v>
      </c>
      <c r="H9" s="2">
        <v>0.90563003787170004</v>
      </c>
      <c r="I9" s="2">
        <v>0.93072409632915098</v>
      </c>
      <c r="J9" s="2">
        <v>0.95633947116449103</v>
      </c>
      <c r="K9" s="2">
        <v>0.98184567683768098</v>
      </c>
      <c r="L9" s="2">
        <v>1.00670226016773</v>
      </c>
      <c r="M9" s="2">
        <v>1.0300928196354699</v>
      </c>
      <c r="N9" s="2">
        <v>1.05144268406528</v>
      </c>
      <c r="O9" s="2">
        <v>1.0703292942473499</v>
      </c>
      <c r="P9" s="2">
        <v>1.0861982079613399</v>
      </c>
      <c r="Q9" s="2">
        <v>1.0984107672818</v>
      </c>
      <c r="R9" s="2">
        <v>1.1067309186804799</v>
      </c>
      <c r="S9" s="2">
        <v>1.11088753761948</v>
      </c>
      <c r="T9" s="2">
        <v>1.1107708620087799</v>
      </c>
      <c r="U9" s="2">
        <v>1.1064098609722199</v>
      </c>
      <c r="V9" s="2">
        <v>1.0979870448173199</v>
      </c>
      <c r="W9" s="2">
        <v>1.0856936963205399</v>
      </c>
      <c r="X9" s="2">
        <v>1.0700324288237499</v>
      </c>
      <c r="Y9" s="2">
        <v>1.0514193207340199</v>
      </c>
      <c r="Z9" s="2">
        <v>1.03016831173581</v>
      </c>
      <c r="AA9" s="2">
        <v>1.0071926405498</v>
      </c>
      <c r="AB9" s="2">
        <v>0.98278494404857097</v>
      </c>
      <c r="AC9" s="2">
        <v>0.95749889428413404</v>
      </c>
      <c r="AD9" s="2">
        <v>0.93210345586530496</v>
      </c>
      <c r="AE9" s="2">
        <v>0.90726897909394799</v>
      </c>
      <c r="AF9" s="2">
        <v>0.88364944875185703</v>
      </c>
      <c r="AG9" s="2">
        <v>0.86213456202816097</v>
      </c>
      <c r="AH9" s="2">
        <v>0.84366130592357702</v>
      </c>
      <c r="AI9" s="2">
        <v>0.82885336808238297</v>
      </c>
      <c r="AJ9" s="2">
        <v>0.81829120747647799</v>
      </c>
      <c r="AK9" s="2">
        <v>0.81271932393016499</v>
      </c>
      <c r="AL9" s="2">
        <v>0.81243951476217102</v>
      </c>
    </row>
    <row r="10" spans="1:38">
      <c r="A10">
        <v>25</v>
      </c>
      <c r="B10" s="2">
        <v>0.76092610175557396</v>
      </c>
      <c r="C10" s="2">
        <v>0.76713650269753297</v>
      </c>
      <c r="D10" s="2">
        <v>0.77938175763667095</v>
      </c>
      <c r="E10" s="2">
        <v>0.79722253185054104</v>
      </c>
      <c r="F10" s="2">
        <v>0.820320280899139</v>
      </c>
      <c r="G10" s="2">
        <v>0.84697235259647097</v>
      </c>
      <c r="H10" s="2">
        <v>0.87637701027614601</v>
      </c>
      <c r="I10" s="2">
        <v>0.90725439106566796</v>
      </c>
      <c r="J10" s="2">
        <v>0.93888422145397399</v>
      </c>
      <c r="K10" s="2">
        <v>0.96996106702415696</v>
      </c>
      <c r="L10" s="2">
        <v>0.99977410031338099</v>
      </c>
      <c r="M10" s="2">
        <v>1.0278169390112499</v>
      </c>
      <c r="N10" s="2">
        <v>1.0533121490938999</v>
      </c>
      <c r="O10" s="2">
        <v>1.07567775310849</v>
      </c>
      <c r="P10" s="2">
        <v>1.09458240019276</v>
      </c>
      <c r="Q10" s="2">
        <v>1.10931470964194</v>
      </c>
      <c r="R10" s="2">
        <v>1.1193129316589501</v>
      </c>
      <c r="S10" s="2">
        <v>1.1243175831076599</v>
      </c>
      <c r="T10" s="2">
        <v>1.12397627795807</v>
      </c>
      <c r="U10" s="2">
        <v>1.1189284699344599</v>
      </c>
      <c r="V10" s="2">
        <v>1.1088002868979101</v>
      </c>
      <c r="W10" s="2">
        <v>1.09397632561539</v>
      </c>
      <c r="X10" s="2">
        <v>1.0752876079483999</v>
      </c>
      <c r="Y10" s="2">
        <v>1.05291128132127</v>
      </c>
      <c r="Z10" s="2">
        <v>1.02773213950762</v>
      </c>
      <c r="AA10" s="2">
        <v>1.0003307957276599</v>
      </c>
      <c r="AB10" s="2">
        <v>0.97093031997701895</v>
      </c>
      <c r="AC10" s="2">
        <v>0.94041690379925802</v>
      </c>
      <c r="AD10" s="2">
        <v>0.90951546637262604</v>
      </c>
      <c r="AE10" s="2">
        <v>0.87884265635677505</v>
      </c>
      <c r="AF10" s="2">
        <v>0.849786242390275</v>
      </c>
      <c r="AG10" s="2">
        <v>0.82292344791122296</v>
      </c>
      <c r="AH10" s="2">
        <v>0.79957610353391795</v>
      </c>
      <c r="AI10" s="2">
        <v>0.78075927364369702</v>
      </c>
      <c r="AJ10" s="2">
        <v>0.76771647677341204</v>
      </c>
      <c r="AK10" s="2">
        <v>0.76110187832254605</v>
      </c>
      <c r="AL10" s="2">
        <v>0.76092610175557396</v>
      </c>
    </row>
    <row r="11" spans="1:38">
      <c r="A11">
        <v>30</v>
      </c>
      <c r="B11" s="2">
        <v>0.71067932844763304</v>
      </c>
      <c r="C11" s="2">
        <v>0.71782547247110695</v>
      </c>
      <c r="D11" s="2">
        <v>0.73188095349518301</v>
      </c>
      <c r="E11" s="2">
        <v>0.75276134108731996</v>
      </c>
      <c r="F11" s="2">
        <v>0.77967284594540798</v>
      </c>
      <c r="G11" s="2">
        <v>0.81146175615041105</v>
      </c>
      <c r="H11" s="2">
        <v>0.84627880658917198</v>
      </c>
      <c r="I11" s="2">
        <v>0.88270550023168604</v>
      </c>
      <c r="J11" s="2">
        <v>0.91920661291806405</v>
      </c>
      <c r="K11" s="2">
        <v>0.95521115545747104</v>
      </c>
      <c r="L11" s="2">
        <v>0.98951908167293701</v>
      </c>
      <c r="M11" s="2">
        <v>1.0216683417693999</v>
      </c>
      <c r="N11" s="2">
        <v>1.0508853388594801</v>
      </c>
      <c r="O11" s="2">
        <v>1.07638955965881</v>
      </c>
      <c r="P11" s="2">
        <v>1.0979808994909801</v>
      </c>
      <c r="Q11" s="2">
        <v>1.1145470349583999</v>
      </c>
      <c r="R11" s="2">
        <v>1.1259257045158</v>
      </c>
      <c r="S11" s="2">
        <v>1.1316901344250001</v>
      </c>
      <c r="T11" s="2">
        <v>1.1312551107123701</v>
      </c>
      <c r="U11" s="2">
        <v>1.1255493206246301</v>
      </c>
      <c r="V11" s="2">
        <v>1.11367559799486</v>
      </c>
      <c r="W11" s="2">
        <v>1.0969045541003299</v>
      </c>
      <c r="X11" s="2">
        <v>1.0757600994554899</v>
      </c>
      <c r="Y11" s="2">
        <v>1.0501604407321401</v>
      </c>
      <c r="Z11" s="2">
        <v>1.02138278255213</v>
      </c>
      <c r="AA11" s="2">
        <v>0.98999851030790798</v>
      </c>
      <c r="AB11" s="2">
        <v>0.95621100758531297</v>
      </c>
      <c r="AC11" s="2">
        <v>0.92120661651829805</v>
      </c>
      <c r="AD11" s="2">
        <v>0.88541064587940499</v>
      </c>
      <c r="AE11" s="2">
        <v>0.84985214920213603</v>
      </c>
      <c r="AF11" s="2">
        <v>0.81540418614169197</v>
      </c>
      <c r="AG11" s="2">
        <v>0.78337421711313604</v>
      </c>
      <c r="AH11" s="2">
        <v>0.75525053495544903</v>
      </c>
      <c r="AI11" s="2">
        <v>0.73289038542420404</v>
      </c>
      <c r="AJ11" s="2">
        <v>0.71776000529346595</v>
      </c>
      <c r="AK11" s="2">
        <v>0.71050618959571998</v>
      </c>
      <c r="AL11" s="2">
        <v>0.71067932844763304</v>
      </c>
    </row>
    <row r="12" spans="1:38">
      <c r="A12">
        <v>35</v>
      </c>
      <c r="B12" s="2">
        <v>0.66235986977594496</v>
      </c>
      <c r="C12" s="2">
        <v>0.67003279071495903</v>
      </c>
      <c r="D12" s="2">
        <v>0.68550311471682601</v>
      </c>
      <c r="E12" s="2">
        <v>0.70892107343952704</v>
      </c>
      <c r="F12" s="2">
        <v>0.73940608758339998</v>
      </c>
      <c r="G12" s="2">
        <v>0.775940506501828</v>
      </c>
      <c r="H12" s="2">
        <v>0.81571492895605602</v>
      </c>
      <c r="I12" s="2">
        <v>0.85697333127542397</v>
      </c>
      <c r="J12" s="2">
        <v>0.89830537040013403</v>
      </c>
      <c r="K12" s="2">
        <v>0.93837767069340094</v>
      </c>
      <c r="L12" s="2">
        <v>0.97653412798014405</v>
      </c>
      <c r="M12" s="2">
        <v>1.0118503325677899</v>
      </c>
      <c r="N12" s="2">
        <v>1.0439485111784901</v>
      </c>
      <c r="O12" s="2">
        <v>1.0721308638457601</v>
      </c>
      <c r="P12" s="2">
        <v>1.09584132425342</v>
      </c>
      <c r="Q12" s="2">
        <v>1.11451317770989</v>
      </c>
      <c r="R12" s="2">
        <v>1.1266634187309901</v>
      </c>
      <c r="S12" s="2">
        <v>1.1328840455971001</v>
      </c>
      <c r="T12" s="2">
        <v>1.1327650923378201</v>
      </c>
      <c r="U12" s="2">
        <v>1.1260359121594801</v>
      </c>
      <c r="V12" s="2">
        <v>1.1128186860862099</v>
      </c>
      <c r="W12" s="2">
        <v>1.0947642880919</v>
      </c>
      <c r="X12" s="2">
        <v>1.0710091938145301</v>
      </c>
      <c r="Y12" s="2">
        <v>1.0425056918492299</v>
      </c>
      <c r="Z12" s="2">
        <v>1.01108374577941</v>
      </c>
      <c r="AA12" s="2">
        <v>0.97643817620310902</v>
      </c>
      <c r="AB12" s="2">
        <v>0.93925634731238905</v>
      </c>
      <c r="AC12" s="2">
        <v>0.90041661460382305</v>
      </c>
      <c r="AD12" s="2">
        <v>0.86040302325733997</v>
      </c>
      <c r="AE12" s="2">
        <v>0.82028713164870604</v>
      </c>
      <c r="AF12" s="2">
        <v>0.78113002136486698</v>
      </c>
      <c r="AG12" s="2">
        <v>0.74431671533281996</v>
      </c>
      <c r="AH12" s="2">
        <v>0.71169654117658798</v>
      </c>
      <c r="AI12" s="2">
        <v>0.68614718254434204</v>
      </c>
      <c r="AJ12" s="2">
        <v>0.66943797637666502</v>
      </c>
      <c r="AK12" s="2">
        <v>0.66187122093849904</v>
      </c>
      <c r="AL12" s="2">
        <v>0.66235986977594496</v>
      </c>
    </row>
    <row r="13" spans="1:38">
      <c r="A13">
        <v>40</v>
      </c>
      <c r="B13" s="2">
        <v>0.61456320606171699</v>
      </c>
      <c r="C13" s="2">
        <v>0.62315770707848395</v>
      </c>
      <c r="D13" s="2">
        <v>0.64028663214341197</v>
      </c>
      <c r="E13" s="2">
        <v>0.66624035658291902</v>
      </c>
      <c r="F13" s="2">
        <v>0.70027223492456803</v>
      </c>
      <c r="G13" s="2">
        <v>0.74108132106040403</v>
      </c>
      <c r="H13" s="2">
        <v>0.785137579467583</v>
      </c>
      <c r="I13" s="2">
        <v>0.83034233927135603</v>
      </c>
      <c r="J13" s="2">
        <v>0.87538338724119003</v>
      </c>
      <c r="K13" s="2">
        <v>0.91892515146750597</v>
      </c>
      <c r="L13" s="2">
        <v>0.96038431213991005</v>
      </c>
      <c r="M13" s="2">
        <v>0.99843172033226801</v>
      </c>
      <c r="N13" s="2">
        <v>1.03309044718079</v>
      </c>
      <c r="O13" s="2">
        <v>1.0633470397173199</v>
      </c>
      <c r="P13" s="2">
        <v>1.0883071342678099</v>
      </c>
      <c r="Q13" s="2">
        <v>1.1085457130035199</v>
      </c>
      <c r="R13" s="2">
        <v>1.1218471077266201</v>
      </c>
      <c r="S13" s="2">
        <v>1.1278927420003599</v>
      </c>
      <c r="T13" s="2">
        <v>1.12815799836872</v>
      </c>
      <c r="U13" s="2">
        <v>1.12039377603583</v>
      </c>
      <c r="V13" s="2">
        <v>1.10661602170958</v>
      </c>
      <c r="W13" s="2">
        <v>1.08701048048285</v>
      </c>
      <c r="X13" s="2">
        <v>1.06074946959153</v>
      </c>
      <c r="Y13" s="2">
        <v>1.03088272707588</v>
      </c>
      <c r="Z13" s="2">
        <v>0.99737747971561597</v>
      </c>
      <c r="AA13" s="2">
        <v>0.959633175689103</v>
      </c>
      <c r="AB13" s="2">
        <v>0.91982594737009105</v>
      </c>
      <c r="AC13" s="2">
        <v>0.87762738603814205</v>
      </c>
      <c r="AD13" s="2">
        <v>0.83436534676129503</v>
      </c>
      <c r="AE13" s="2">
        <v>0.79068426346884602</v>
      </c>
      <c r="AF13" s="2">
        <v>0.747758861561449</v>
      </c>
      <c r="AG13" s="2">
        <v>0.70670402442900604</v>
      </c>
      <c r="AH13" s="2">
        <v>0.66977813274075504</v>
      </c>
      <c r="AI13" s="2">
        <v>0.64123016846187597</v>
      </c>
      <c r="AJ13" s="2">
        <v>0.62284631413569003</v>
      </c>
      <c r="AK13" s="2">
        <v>0.61420053735053504</v>
      </c>
      <c r="AL13" s="2">
        <v>0.61456320606171699</v>
      </c>
    </row>
    <row r="14" spans="1:38">
      <c r="A14">
        <v>45</v>
      </c>
      <c r="B14" s="2">
        <v>0.56777152111392903</v>
      </c>
      <c r="C14" s="2">
        <v>0.57751967262807302</v>
      </c>
      <c r="D14" s="2">
        <v>0.596713745057323</v>
      </c>
      <c r="E14" s="2">
        <v>0.62509070009974099</v>
      </c>
      <c r="F14" s="2">
        <v>0.66293589581069201</v>
      </c>
      <c r="G14" s="2">
        <v>0.70738272055243601</v>
      </c>
      <c r="H14" s="2">
        <v>0.75485789308031204</v>
      </c>
      <c r="I14" s="2">
        <v>0.80340127001551498</v>
      </c>
      <c r="J14" s="2">
        <v>0.85130470530262203</v>
      </c>
      <c r="K14" s="2">
        <v>0.897629755412377</v>
      </c>
      <c r="L14" s="2">
        <v>0.94124435516834004</v>
      </c>
      <c r="M14" s="2">
        <v>0.98142553196004201</v>
      </c>
      <c r="N14" s="2">
        <v>1.0174731988699699</v>
      </c>
      <c r="O14" s="2">
        <v>1.0497893957022999</v>
      </c>
      <c r="P14" s="2">
        <v>1.0761895602381799</v>
      </c>
      <c r="Q14" s="2">
        <v>1.0966095006510299</v>
      </c>
      <c r="R14" s="2">
        <v>1.11119328957563</v>
      </c>
      <c r="S14" s="2">
        <v>1.1168125398608</v>
      </c>
      <c r="T14" s="2">
        <v>1.117396507729</v>
      </c>
      <c r="U14" s="2">
        <v>1.10870671244901</v>
      </c>
      <c r="V14" s="2">
        <v>1.0949355332751101</v>
      </c>
      <c r="W14" s="2">
        <v>1.0734513308528599</v>
      </c>
      <c r="X14" s="2">
        <v>1.0463764561012201</v>
      </c>
      <c r="Y14" s="2">
        <v>1.0153185629920201</v>
      </c>
      <c r="Z14" s="2">
        <v>0.97909854172469102</v>
      </c>
      <c r="AA14" s="2">
        <v>0.93973655812179702</v>
      </c>
      <c r="AB14" s="2">
        <v>0.89801001421132398</v>
      </c>
      <c r="AC14" s="2">
        <v>0.85358367593891404</v>
      </c>
      <c r="AD14" s="2">
        <v>0.80788288753254001</v>
      </c>
      <c r="AE14" s="2">
        <v>0.76141546357011802</v>
      </c>
      <c r="AF14" s="2">
        <v>0.71531447663495695</v>
      </c>
      <c r="AG14" s="2">
        <v>0.67093634977012795</v>
      </c>
      <c r="AH14" s="2">
        <v>0.63060153858601997</v>
      </c>
      <c r="AI14" s="2">
        <v>0.59854311196169596</v>
      </c>
      <c r="AJ14" s="2">
        <v>0.57804729888491202</v>
      </c>
      <c r="AK14" s="2">
        <v>0.56783934805111203</v>
      </c>
      <c r="AL14" s="2">
        <v>0.56777152111392903</v>
      </c>
    </row>
    <row r="15" spans="1:38">
      <c r="A15">
        <v>50</v>
      </c>
      <c r="B15" s="2">
        <v>0.52336794657476304</v>
      </c>
      <c r="C15" s="2">
        <v>0.534102489019319</v>
      </c>
      <c r="D15" s="2">
        <v>0.55536954355929802</v>
      </c>
      <c r="E15" s="2">
        <v>0.58616738697999304</v>
      </c>
      <c r="F15" s="2">
        <v>0.62773827150422501</v>
      </c>
      <c r="G15" s="2">
        <v>0.67506262763913105</v>
      </c>
      <c r="H15" s="2">
        <v>0.72495923234646598</v>
      </c>
      <c r="I15" s="2">
        <v>0.77547568939602496</v>
      </c>
      <c r="J15" s="2">
        <v>0.82550550173491999</v>
      </c>
      <c r="K15" s="2">
        <v>0.87401590050553601</v>
      </c>
      <c r="L15" s="2">
        <v>0.91924934035898298</v>
      </c>
      <c r="M15" s="2">
        <v>0.96134382079804503</v>
      </c>
      <c r="N15" s="2">
        <v>0.99829425119135595</v>
      </c>
      <c r="O15" s="2">
        <v>1.0307948038796799</v>
      </c>
      <c r="P15" s="2">
        <v>1.05904416942961</v>
      </c>
      <c r="Q15" s="2">
        <v>1.0791096382254699</v>
      </c>
      <c r="R15" s="2">
        <v>1.0945141864315</v>
      </c>
      <c r="S15" s="2">
        <v>1.100300125605</v>
      </c>
      <c r="T15" s="2">
        <v>1.1005625218604</v>
      </c>
      <c r="U15" s="2">
        <v>1.09141816720476</v>
      </c>
      <c r="V15" s="2">
        <v>1.0773534911896501</v>
      </c>
      <c r="W15" s="2">
        <v>1.05429501967838</v>
      </c>
      <c r="X15" s="2">
        <v>1.0278754780878101</v>
      </c>
      <c r="Y15" s="2">
        <v>0.99460098723111101</v>
      </c>
      <c r="Z15" s="2">
        <v>0.95747587478878005</v>
      </c>
      <c r="AA15" s="2">
        <v>0.91782595892781504</v>
      </c>
      <c r="AB15" s="2">
        <v>0.87411800165518405</v>
      </c>
      <c r="AC15" s="2">
        <v>0.82809542232486799</v>
      </c>
      <c r="AD15" s="2">
        <v>0.78045786844156395</v>
      </c>
      <c r="AE15" s="2">
        <v>0.73211165014236601</v>
      </c>
      <c r="AF15" s="2">
        <v>0.68391847123118599</v>
      </c>
      <c r="AG15" s="2">
        <v>0.63760679659811803</v>
      </c>
      <c r="AH15" s="2">
        <v>0.59468754177897698</v>
      </c>
      <c r="AI15" s="2">
        <v>0.55888178454792403</v>
      </c>
      <c r="AJ15" s="2">
        <v>0.53595435331268104</v>
      </c>
      <c r="AK15" s="2">
        <v>0.52389581179670597</v>
      </c>
      <c r="AL15" s="2">
        <v>0.52336794657476304</v>
      </c>
    </row>
    <row r="16" spans="1:38">
      <c r="A16">
        <v>55</v>
      </c>
      <c r="B16" s="2">
        <v>0.48267989750687601</v>
      </c>
      <c r="C16" s="2">
        <v>0.49430034580914101</v>
      </c>
      <c r="D16" s="2">
        <v>0.51704992820912399</v>
      </c>
      <c r="E16" s="2">
        <v>0.55112238312816897</v>
      </c>
      <c r="F16" s="2">
        <v>0.59535318577256802</v>
      </c>
      <c r="G16" s="2">
        <v>0.64455224551516199</v>
      </c>
      <c r="H16" s="2">
        <v>0.69588964320145197</v>
      </c>
      <c r="I16" s="2">
        <v>0.74775576440589198</v>
      </c>
      <c r="J16" s="2">
        <v>0.79897962138284195</v>
      </c>
      <c r="K16" s="2">
        <v>0.84820891682343003</v>
      </c>
      <c r="L16" s="2">
        <v>0.89442748025193797</v>
      </c>
      <c r="M16" s="2">
        <v>0.936953166813009</v>
      </c>
      <c r="N16" s="2">
        <v>0.97570879303515201</v>
      </c>
      <c r="O16" s="2">
        <v>1.00736799648354</v>
      </c>
      <c r="P16" s="2">
        <v>1.03627037992072</v>
      </c>
      <c r="Q16" s="2">
        <v>1.0573559378548401</v>
      </c>
      <c r="R16" s="2">
        <v>1.0719367363402901</v>
      </c>
      <c r="S16" s="2">
        <v>1.0783228624885</v>
      </c>
      <c r="T16" s="2">
        <v>1.07778415756002</v>
      </c>
      <c r="U16" s="2">
        <v>1.0690485909263301</v>
      </c>
      <c r="V16" s="2">
        <v>1.0540037054098099</v>
      </c>
      <c r="W16" s="2">
        <v>1.03129090547048</v>
      </c>
      <c r="X16" s="2">
        <v>1.00398331393536</v>
      </c>
      <c r="Y16" s="2">
        <v>0.96933531223802705</v>
      </c>
      <c r="Z16" s="2">
        <v>0.93361090003332303</v>
      </c>
      <c r="AA16" s="2">
        <v>0.89226703253975403</v>
      </c>
      <c r="AB16" s="2">
        <v>0.84750499318787098</v>
      </c>
      <c r="AC16" s="2">
        <v>0.80105933888962999</v>
      </c>
      <c r="AD16" s="2">
        <v>0.75251841685407195</v>
      </c>
      <c r="AE16" s="2">
        <v>0.70309269111591799</v>
      </c>
      <c r="AF16" s="2">
        <v>0.65391388526216399</v>
      </c>
      <c r="AG16" s="2">
        <v>0.60635159154621399</v>
      </c>
      <c r="AH16" s="2">
        <v>0.56220112874344896</v>
      </c>
      <c r="AI16" s="2">
        <v>0.52402112382722099</v>
      </c>
      <c r="AJ16" s="2">
        <v>0.497571707282079</v>
      </c>
      <c r="AK16" s="2">
        <v>0.48392510877655498</v>
      </c>
      <c r="AL16" s="2">
        <v>0.48267989750687601</v>
      </c>
    </row>
    <row r="17" spans="1:38">
      <c r="A17">
        <v>60</v>
      </c>
      <c r="B17" s="2">
        <v>0.44715199163916097</v>
      </c>
      <c r="C17" s="2">
        <v>0.45887849625524602</v>
      </c>
      <c r="D17" s="2">
        <v>0.48287897369251498</v>
      </c>
      <c r="E17" s="2">
        <v>0.52064412548897798</v>
      </c>
      <c r="F17" s="2">
        <v>0.56550619077779996</v>
      </c>
      <c r="G17" s="2">
        <v>0.61486780380584105</v>
      </c>
      <c r="H17" s="2">
        <v>0.66663903002067004</v>
      </c>
      <c r="I17" s="2">
        <v>0.71930284001674605</v>
      </c>
      <c r="J17" s="2">
        <v>0.77119482269494499</v>
      </c>
      <c r="K17" s="2">
        <v>0.820812209147609</v>
      </c>
      <c r="L17" s="2">
        <v>0.86786753054329902</v>
      </c>
      <c r="M17" s="2">
        <v>0.90961795299664905</v>
      </c>
      <c r="N17" s="2">
        <v>0.94837979316435606</v>
      </c>
      <c r="O17" s="2">
        <v>0.98140536889769203</v>
      </c>
      <c r="P17" s="2">
        <v>1.0080536321132001</v>
      </c>
      <c r="Q17" s="2">
        <v>1.0302275722721199</v>
      </c>
      <c r="R17" s="2">
        <v>1.04374335197049</v>
      </c>
      <c r="S17" s="2">
        <v>1.0506409192169901</v>
      </c>
      <c r="T17" s="2">
        <v>1.04923477193413</v>
      </c>
      <c r="U17" s="2">
        <v>1.0410899170648</v>
      </c>
      <c r="V17" s="2">
        <v>1.02506544781699</v>
      </c>
      <c r="W17" s="2">
        <v>1.00358463625557</v>
      </c>
      <c r="X17" s="2">
        <v>0.97488179743956005</v>
      </c>
      <c r="Y17" s="2">
        <v>0.94225579586616304</v>
      </c>
      <c r="Z17" s="2">
        <v>0.90530029733343598</v>
      </c>
      <c r="AA17" s="2">
        <v>0.86325636619729995</v>
      </c>
      <c r="AB17" s="2">
        <v>0.81994100806804804</v>
      </c>
      <c r="AC17" s="2">
        <v>0.77303800883634399</v>
      </c>
      <c r="AD17" s="2">
        <v>0.72386193056687798</v>
      </c>
      <c r="AE17" s="2">
        <v>0.67392328212459096</v>
      </c>
      <c r="AF17" s="2">
        <v>0.624493280447045</v>
      </c>
      <c r="AG17" s="2">
        <v>0.57680187750589396</v>
      </c>
      <c r="AH17" s="2">
        <v>0.53282890220396495</v>
      </c>
      <c r="AI17" s="2">
        <v>0.49435127870704798</v>
      </c>
      <c r="AJ17" s="2">
        <v>0.46412605198142398</v>
      </c>
      <c r="AK17" s="2">
        <v>0.44891202364865801</v>
      </c>
      <c r="AL17" s="2">
        <v>0.44715199163916097</v>
      </c>
    </row>
    <row r="18" spans="1:38">
      <c r="A18">
        <v>65</v>
      </c>
      <c r="B18" s="2">
        <v>0.416715743845329</v>
      </c>
      <c r="C18" s="2">
        <v>0.42871568348732803</v>
      </c>
      <c r="D18" s="2">
        <v>0.45557652028579299</v>
      </c>
      <c r="E18" s="2">
        <v>0.49354147571392398</v>
      </c>
      <c r="F18" s="2">
        <v>0.53772003952798098</v>
      </c>
      <c r="G18" s="2">
        <v>0.58669040960664598</v>
      </c>
      <c r="H18" s="2">
        <v>0.63832495620276897</v>
      </c>
      <c r="I18" s="2">
        <v>0.69063874921395196</v>
      </c>
      <c r="J18" s="2">
        <v>0.74204171662484497</v>
      </c>
      <c r="K18" s="2">
        <v>0.79127754814723406</v>
      </c>
      <c r="L18" s="2">
        <v>0.83799967290476696</v>
      </c>
      <c r="M18" s="2">
        <v>0.88073494750379699</v>
      </c>
      <c r="N18" s="2">
        <v>0.91666395772081899</v>
      </c>
      <c r="O18" s="2">
        <v>0.950554992500935</v>
      </c>
      <c r="P18" s="2">
        <v>0.97636759369236403</v>
      </c>
      <c r="Q18" s="2">
        <v>0.99773484617876795</v>
      </c>
      <c r="R18" s="2">
        <v>1.0108957409371799</v>
      </c>
      <c r="S18" s="2">
        <v>1.0174163876970199</v>
      </c>
      <c r="T18" s="2">
        <v>1.0153282679637701</v>
      </c>
      <c r="U18" s="2">
        <v>1.0076560937502601</v>
      </c>
      <c r="V18" s="2">
        <v>0.99164813679154296</v>
      </c>
      <c r="W18" s="2">
        <v>0.97071766783875302</v>
      </c>
      <c r="X18" s="2">
        <v>0.94189678430269197</v>
      </c>
      <c r="Y18" s="2">
        <v>0.91108769684578605</v>
      </c>
      <c r="Z18" s="2">
        <v>0.87296631949036596</v>
      </c>
      <c r="AA18" s="2">
        <v>0.83400735874504695</v>
      </c>
      <c r="AB18" s="2">
        <v>0.79009938543991398</v>
      </c>
      <c r="AC18" s="2">
        <v>0.74276932469636003</v>
      </c>
      <c r="AD18" s="2">
        <v>0.69447387858149201</v>
      </c>
      <c r="AE18" s="2">
        <v>0.64509994375902602</v>
      </c>
      <c r="AF18" s="2">
        <v>0.596298944794318</v>
      </c>
      <c r="AG18" s="2">
        <v>0.54934037328811502</v>
      </c>
      <c r="AH18" s="2">
        <v>0.50603951901622202</v>
      </c>
      <c r="AI18" s="2">
        <v>0.46862887463147701</v>
      </c>
      <c r="AJ18" s="2">
        <v>0.438233307301861</v>
      </c>
      <c r="AK18" s="2">
        <v>0.419628249337196</v>
      </c>
      <c r="AL18" s="2">
        <v>0.416715743845329</v>
      </c>
    </row>
    <row r="19" spans="1:38">
      <c r="A19">
        <v>70</v>
      </c>
      <c r="B19" s="2">
        <v>0.39470382993805198</v>
      </c>
      <c r="C19" s="2">
        <v>0.40700038849136899</v>
      </c>
      <c r="D19" s="2">
        <v>0.43293723443958099</v>
      </c>
      <c r="E19" s="2">
        <v>0.46921932041962</v>
      </c>
      <c r="F19" s="2">
        <v>0.51197446985986605</v>
      </c>
      <c r="G19" s="2">
        <v>0.55930809627158995</v>
      </c>
      <c r="H19" s="2">
        <v>0.60967157108589098</v>
      </c>
      <c r="I19" s="2">
        <v>0.66134826748269104</v>
      </c>
      <c r="J19" s="2">
        <v>0.71208541556917304</v>
      </c>
      <c r="K19" s="2">
        <v>0.76095645789982003</v>
      </c>
      <c r="L19" s="2">
        <v>0.80520876072149405</v>
      </c>
      <c r="M19" s="2">
        <v>0.84786494371597698</v>
      </c>
      <c r="N19" s="2">
        <v>0.88373670737729604</v>
      </c>
      <c r="O19" s="2">
        <v>0.91490188554784302</v>
      </c>
      <c r="P19" s="2">
        <v>0.94097538584415996</v>
      </c>
      <c r="Q19" s="2">
        <v>0.96022027043249503</v>
      </c>
      <c r="R19" s="2">
        <v>0.97333412602286595</v>
      </c>
      <c r="S19" s="2">
        <v>0.97888234113227701</v>
      </c>
      <c r="T19" s="2">
        <v>0.97679494031896197</v>
      </c>
      <c r="U19" s="2">
        <v>0.96898896753048103</v>
      </c>
      <c r="V19" s="2">
        <v>0.95383997611989901</v>
      </c>
      <c r="W19" s="2">
        <v>0.93293059908486597</v>
      </c>
      <c r="X19" s="2">
        <v>0.90658867087198802</v>
      </c>
      <c r="Y19" s="2">
        <v>0.87552066876662205</v>
      </c>
      <c r="Z19" s="2">
        <v>0.83970393689089495</v>
      </c>
      <c r="AA19" s="2">
        <v>0.801519523736273</v>
      </c>
      <c r="AB19" s="2">
        <v>0.75712580468535295</v>
      </c>
      <c r="AC19" s="2">
        <v>0.71233896502734095</v>
      </c>
      <c r="AD19" s="2">
        <v>0.66494650094669205</v>
      </c>
      <c r="AE19" s="2">
        <v>0.61629218096572302</v>
      </c>
      <c r="AF19" s="2">
        <v>0.568375444350256</v>
      </c>
      <c r="AG19" s="2">
        <v>0.52282176878833897</v>
      </c>
      <c r="AH19" s="2">
        <v>0.48158573568289098</v>
      </c>
      <c r="AI19" s="2">
        <v>0.44576545175846299</v>
      </c>
      <c r="AJ19" s="2">
        <v>0.41702157669925799</v>
      </c>
      <c r="AK19" s="2">
        <v>0.39879635135149399</v>
      </c>
      <c r="AL19" s="2">
        <v>0.39470382993805198</v>
      </c>
    </row>
    <row r="20" spans="1:38">
      <c r="A20">
        <v>75</v>
      </c>
      <c r="B20" s="2">
        <v>0.37789852189879097</v>
      </c>
      <c r="C20" s="2">
        <v>0.38913149135083502</v>
      </c>
      <c r="D20" s="2">
        <v>0.413153216650257</v>
      </c>
      <c r="E20" s="2">
        <v>0.44709120589558898</v>
      </c>
      <c r="F20" s="2">
        <v>0.487202299754665</v>
      </c>
      <c r="G20" s="2">
        <v>0.53300465516284301</v>
      </c>
      <c r="H20" s="2">
        <v>0.58176441502552101</v>
      </c>
      <c r="I20" s="2">
        <v>0.63153486785002</v>
      </c>
      <c r="J20" s="2">
        <v>0.68056849142357601</v>
      </c>
      <c r="K20" s="2">
        <v>0.72851892472578605</v>
      </c>
      <c r="L20" s="2">
        <v>0.77269183391762897</v>
      </c>
      <c r="M20" s="2">
        <v>0.81136807875729999</v>
      </c>
      <c r="N20" s="2">
        <v>0.84745773659885104</v>
      </c>
      <c r="O20" s="2">
        <v>0.876264051305088</v>
      </c>
      <c r="P20" s="2">
        <v>0.90105454448953604</v>
      </c>
      <c r="Q20" s="2">
        <v>0.91908574013966005</v>
      </c>
      <c r="R20" s="2">
        <v>0.930977407490025</v>
      </c>
      <c r="S20" s="2">
        <v>0.93561614232464296</v>
      </c>
      <c r="T20" s="2">
        <v>0.93355155562115599</v>
      </c>
      <c r="U20" s="2">
        <v>0.92552193058696197</v>
      </c>
      <c r="V20" s="2">
        <v>0.91160643257948504</v>
      </c>
      <c r="W20" s="2">
        <v>0.89178779761805704</v>
      </c>
      <c r="X20" s="2">
        <v>0.86721684280520395</v>
      </c>
      <c r="Y20" s="2">
        <v>0.83677187701436795</v>
      </c>
      <c r="Z20" s="2">
        <v>0.80414409624109695</v>
      </c>
      <c r="AA20" s="2">
        <v>0.76536804858557195</v>
      </c>
      <c r="AB20" s="2">
        <v>0.72474682966594695</v>
      </c>
      <c r="AC20" s="2">
        <v>0.680903002891177</v>
      </c>
      <c r="AD20" s="2">
        <v>0.63393329845640201</v>
      </c>
      <c r="AE20" s="2">
        <v>0.58746488437250299</v>
      </c>
      <c r="AF20" s="2">
        <v>0.54151572014397098</v>
      </c>
      <c r="AG20" s="2">
        <v>0.49787491153945002</v>
      </c>
      <c r="AH20" s="2">
        <v>0.45822836623006202</v>
      </c>
      <c r="AI20" s="2">
        <v>0.42500803400612203</v>
      </c>
      <c r="AJ20" s="2">
        <v>0.39841046446977801</v>
      </c>
      <c r="AK20" s="2">
        <v>0.38161285667216999</v>
      </c>
      <c r="AL20" s="2">
        <v>0.37789852189879097</v>
      </c>
    </row>
    <row r="21" spans="1:38">
      <c r="A21">
        <v>80</v>
      </c>
      <c r="B21" s="2">
        <v>0.363122682497595</v>
      </c>
      <c r="C21" s="2">
        <v>0.37329086548960999</v>
      </c>
      <c r="D21" s="2">
        <v>0.39513561351849502</v>
      </c>
      <c r="E21" s="2">
        <v>0.426145425263601</v>
      </c>
      <c r="F21" s="2">
        <v>0.46415337904536003</v>
      </c>
      <c r="G21" s="2">
        <v>0.50714335278037603</v>
      </c>
      <c r="H21" s="2">
        <v>0.55375156281525895</v>
      </c>
      <c r="I21" s="2">
        <v>0.60168160939864701</v>
      </c>
      <c r="J21" s="2">
        <v>0.64921883372599698</v>
      </c>
      <c r="K21" s="2">
        <v>0.69342009151782202</v>
      </c>
      <c r="L21" s="2">
        <v>0.73732933959606395</v>
      </c>
      <c r="M21" s="2">
        <v>0.77440275365119904</v>
      </c>
      <c r="N21" s="2">
        <v>0.80753929200963004</v>
      </c>
      <c r="O21" s="2">
        <v>0.83558135092961805</v>
      </c>
      <c r="P21" s="2">
        <v>0.85729031119643295</v>
      </c>
      <c r="Q21" s="2">
        <v>0.87414869102116899</v>
      </c>
      <c r="R21" s="2">
        <v>0.88408628620873797</v>
      </c>
      <c r="S21" s="2">
        <v>0.88820164524970602</v>
      </c>
      <c r="T21" s="2">
        <v>0.88579140962492797</v>
      </c>
      <c r="U21" s="2">
        <v>0.87819258312813298</v>
      </c>
      <c r="V21" s="2">
        <v>0.86500536399320205</v>
      </c>
      <c r="W21" s="2">
        <v>0.84735436408661202</v>
      </c>
      <c r="X21" s="2">
        <v>0.82398930186623098</v>
      </c>
      <c r="Y21" s="2">
        <v>0.79658855916758897</v>
      </c>
      <c r="Z21" s="2">
        <v>0.76512314874482601</v>
      </c>
      <c r="AA21" s="2">
        <v>0.72881210912989602</v>
      </c>
      <c r="AB21" s="2">
        <v>0.690868765089521</v>
      </c>
      <c r="AC21" s="2">
        <v>0.647186052477288</v>
      </c>
      <c r="AD21" s="2">
        <v>0.60352212888059398</v>
      </c>
      <c r="AE21" s="2">
        <v>0.55923831317675199</v>
      </c>
      <c r="AF21" s="2">
        <v>0.51500119629800301</v>
      </c>
      <c r="AG21" s="2">
        <v>0.47335120147120102</v>
      </c>
      <c r="AH21" s="2">
        <v>0.436628891811913</v>
      </c>
      <c r="AI21" s="2">
        <v>0.40541009446652498</v>
      </c>
      <c r="AJ21" s="2">
        <v>0.381363923365303</v>
      </c>
      <c r="AK21" s="2">
        <v>0.36647456284889601</v>
      </c>
      <c r="AL21" s="2">
        <v>0.363122682497595</v>
      </c>
    </row>
    <row r="22" spans="1:38">
      <c r="A22">
        <v>85</v>
      </c>
      <c r="B22" s="2">
        <v>0.349331922816778</v>
      </c>
      <c r="C22" s="2">
        <v>0.35833237762838699</v>
      </c>
      <c r="D22" s="2">
        <v>0.37793233710985402</v>
      </c>
      <c r="E22" s="2">
        <v>0.406737061645772</v>
      </c>
      <c r="F22" s="2">
        <v>0.44153692675043399</v>
      </c>
      <c r="G22" s="2">
        <v>0.48228846684408</v>
      </c>
      <c r="H22" s="2">
        <v>0.52619820480754398</v>
      </c>
      <c r="I22" s="2">
        <v>0.57106716662340395</v>
      </c>
      <c r="J22" s="2">
        <v>0.61698705659278597</v>
      </c>
      <c r="K22" s="2">
        <v>0.65982615163456704</v>
      </c>
      <c r="L22" s="2">
        <v>0.69892503983010901</v>
      </c>
      <c r="M22" s="2">
        <v>0.73553030757690296</v>
      </c>
      <c r="N22" s="2">
        <v>0.76546749218053101</v>
      </c>
      <c r="O22" s="2">
        <v>0.79139628516590999</v>
      </c>
      <c r="P22" s="2">
        <v>0.81111608911558197</v>
      </c>
      <c r="Q22" s="2">
        <v>0.82544758210103297</v>
      </c>
      <c r="R22" s="2">
        <v>0.83397887642138602</v>
      </c>
      <c r="S22" s="2">
        <v>0.83665935922242496</v>
      </c>
      <c r="T22" s="2">
        <v>0.83382191189394195</v>
      </c>
      <c r="U22" s="2">
        <v>0.82695456252086597</v>
      </c>
      <c r="V22" s="2">
        <v>0.81538754938088598</v>
      </c>
      <c r="W22" s="2">
        <v>0.79956114352034902</v>
      </c>
      <c r="X22" s="2">
        <v>0.77872053063258795</v>
      </c>
      <c r="Y22" s="2">
        <v>0.75380951781619798</v>
      </c>
      <c r="Z22" s="2">
        <v>0.72413466990270203</v>
      </c>
      <c r="AA22" s="2">
        <v>0.69171728026677803</v>
      </c>
      <c r="AB22" s="2">
        <v>0.65416433895018999</v>
      </c>
      <c r="AC22" s="2">
        <v>0.61415029923430997</v>
      </c>
      <c r="AD22" s="2">
        <v>0.57326420258191202</v>
      </c>
      <c r="AE22" s="2">
        <v>0.53012937928539305</v>
      </c>
      <c r="AF22" s="2">
        <v>0.48901071964467002</v>
      </c>
      <c r="AG22" s="2">
        <v>0.45019105644164598</v>
      </c>
      <c r="AH22" s="2">
        <v>0.415623056103752</v>
      </c>
      <c r="AI22" s="2">
        <v>0.38718745134091498</v>
      </c>
      <c r="AJ22" s="2">
        <v>0.36504434521670598</v>
      </c>
      <c r="AK22" s="2">
        <v>0.35215813044337502</v>
      </c>
      <c r="AL22" s="2">
        <v>0.349331922816778</v>
      </c>
    </row>
    <row r="23" spans="1:38">
      <c r="A23">
        <v>90</v>
      </c>
      <c r="B23" s="2">
        <v>0.33594762187714799</v>
      </c>
      <c r="C23" s="2">
        <v>0.34418834762121298</v>
      </c>
      <c r="D23" s="2">
        <v>0.362042387931791</v>
      </c>
      <c r="E23" s="2">
        <v>0.38782435596676701</v>
      </c>
      <c r="F23" s="2">
        <v>0.42012572743377602</v>
      </c>
      <c r="G23" s="2">
        <v>0.45759805665120701</v>
      </c>
      <c r="H23" s="2">
        <v>0.49893593196935998</v>
      </c>
      <c r="I23" s="2">
        <v>0.54146735739228002</v>
      </c>
      <c r="J23" s="2">
        <v>0.58284294791434599</v>
      </c>
      <c r="K23" s="2">
        <v>0.62487434265643604</v>
      </c>
      <c r="L23" s="2">
        <v>0.66090530240093404</v>
      </c>
      <c r="M23" s="2">
        <v>0.69401630381393098</v>
      </c>
      <c r="N23" s="2">
        <v>0.72241125522173</v>
      </c>
      <c r="O23" s="2">
        <v>0.74479494584363104</v>
      </c>
      <c r="P23" s="2">
        <v>0.76225258715159205</v>
      </c>
      <c r="Q23" s="2">
        <v>0.77420086487348205</v>
      </c>
      <c r="R23" s="2">
        <v>0.78053222831184599</v>
      </c>
      <c r="S23" s="2">
        <v>0.78149390591548595</v>
      </c>
      <c r="T23" s="2">
        <v>0.77825747098001197</v>
      </c>
      <c r="U23" s="2">
        <v>0.77227279816296002</v>
      </c>
      <c r="V23" s="2">
        <v>0.762894310503893</v>
      </c>
      <c r="W23" s="2">
        <v>0.74926406774273202</v>
      </c>
      <c r="X23" s="2">
        <v>0.73117106566861001</v>
      </c>
      <c r="Y23" s="2">
        <v>0.70879806613918095</v>
      </c>
      <c r="Z23" s="2">
        <v>0.68265802753551896</v>
      </c>
      <c r="AA23" s="2">
        <v>0.65212923613071305</v>
      </c>
      <c r="AB23" s="2">
        <v>0.61708220463719798</v>
      </c>
      <c r="AC23" s="2">
        <v>0.58165063487408297</v>
      </c>
      <c r="AD23" s="2">
        <v>0.54153196060209197</v>
      </c>
      <c r="AE23" s="2">
        <v>0.502120426583331</v>
      </c>
      <c r="AF23" s="2">
        <v>0.46382350168502501</v>
      </c>
      <c r="AG23" s="2">
        <v>0.42737237404031803</v>
      </c>
      <c r="AH23" s="2">
        <v>0.39563992130234199</v>
      </c>
      <c r="AI23" s="2">
        <v>0.36953744531516403</v>
      </c>
      <c r="AJ23" s="2">
        <v>0.35011354827816898</v>
      </c>
      <c r="AK23" s="2">
        <v>0.33839801919691198</v>
      </c>
      <c r="AL23" s="2">
        <v>0.33594762187714799</v>
      </c>
    </row>
    <row r="24" spans="1:38">
      <c r="B24" s="22"/>
      <c r="C24" s="22"/>
      <c r="D24" s="22"/>
      <c r="E24" s="22"/>
      <c r="F24" s="22"/>
      <c r="G24" s="22"/>
      <c r="H24" s="22"/>
      <c r="I24" s="22"/>
      <c r="J24" s="22"/>
      <c r="K24" s="22"/>
      <c r="L24" s="22"/>
      <c r="M24" s="22"/>
      <c r="N24" s="22"/>
    </row>
    <row r="25" spans="1:38">
      <c r="B25" s="22"/>
      <c r="C25" s="22"/>
      <c r="D25" s="22"/>
      <c r="E25" s="22"/>
      <c r="F25" s="22"/>
      <c r="G25" s="22"/>
      <c r="H25" s="22"/>
      <c r="I25" s="22"/>
      <c r="J25" s="22"/>
      <c r="K25" s="22"/>
      <c r="L25" s="22"/>
      <c r="M25" s="22"/>
      <c r="N25" s="22"/>
    </row>
    <row r="26" spans="1:38">
      <c r="B26" s="22"/>
      <c r="C26" s="22"/>
      <c r="D26" s="22"/>
      <c r="E26" s="22"/>
      <c r="F26" s="22"/>
      <c r="G26" s="22"/>
      <c r="H26" s="22"/>
      <c r="I26" s="22"/>
      <c r="J26" s="22"/>
      <c r="K26" s="22"/>
      <c r="L26" s="22"/>
      <c r="M26" s="22"/>
      <c r="N26" s="22"/>
    </row>
    <row r="27" spans="1:38">
      <c r="B27" s="22"/>
      <c r="C27" s="22"/>
      <c r="D27" s="22"/>
      <c r="E27" s="22"/>
      <c r="F27" s="22"/>
      <c r="G27" s="22"/>
      <c r="H27" s="22"/>
      <c r="I27" s="22"/>
      <c r="J27" s="22"/>
      <c r="K27" s="22"/>
      <c r="L27" s="22"/>
      <c r="M27" s="22"/>
      <c r="N27" s="22"/>
    </row>
    <row r="28" spans="1:38">
      <c r="B28" s="22"/>
      <c r="C28" s="22"/>
      <c r="D28" s="22"/>
      <c r="E28" s="22"/>
      <c r="F28" s="22"/>
      <c r="G28" s="22"/>
      <c r="H28" s="22"/>
      <c r="I28" s="22"/>
      <c r="J28" s="22"/>
      <c r="K28" s="22"/>
      <c r="L28" s="22"/>
      <c r="M28" s="22"/>
      <c r="N28" s="22"/>
    </row>
    <row r="29" spans="1:38">
      <c r="B29" s="22"/>
      <c r="C29" s="22"/>
      <c r="D29" s="22"/>
      <c r="E29" s="22"/>
      <c r="F29" s="22"/>
      <c r="G29" s="22"/>
      <c r="H29" s="22"/>
      <c r="I29" s="22"/>
      <c r="J29" s="22"/>
      <c r="K29" s="22"/>
      <c r="L29" s="22"/>
      <c r="M29" s="22"/>
      <c r="N29" s="22"/>
    </row>
  </sheetData>
  <sheetProtection algorithmName="SHA-512" hashValue="oZJkbWzff4f8VrgeLPIfTp2R4V14yJNVHltu/okh8kCq0KM+Gl1shnjCA21PTSG6Fawbr41BXtTbFo+HPNS6oA==" saltValue="Ie9lU5Ef2LTbRCakyCHYOg==" spinCount="100000" sheet="1" objects="1" scenarios="1" autoFilter="0"/>
  <conditionalFormatting sqref="B5:AL23">
    <cfRule type="colorScale" priority="3">
      <colorScale>
        <cfvo type="min"/>
        <cfvo type="max"/>
        <color rgb="FF63BE7B"/>
        <color rgb="FFFCFCFF"/>
      </colorScale>
    </cfRule>
  </conditionalFormatting>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M71"/>
  <sheetViews>
    <sheetView workbookViewId="0"/>
  </sheetViews>
  <sheetFormatPr baseColWidth="10" defaultRowHeight="15"/>
  <cols>
    <col min="1" max="1" width="25.85546875" style="336" customWidth="1"/>
    <col min="2" max="2" width="13.140625" style="336" customWidth="1"/>
    <col min="3" max="3" width="8.140625" style="336" customWidth="1"/>
    <col min="4" max="5" width="10.85546875" style="336" customWidth="1"/>
    <col min="6" max="6" width="3.42578125" style="336" customWidth="1"/>
    <col min="7" max="13" width="10.85546875" customWidth="1"/>
  </cols>
  <sheetData>
    <row r="1" spans="1:13" ht="46.5">
      <c r="A1" s="335" t="s">
        <v>48</v>
      </c>
    </row>
    <row r="3" spans="1:13" s="25" customFormat="1" ht="21">
      <c r="A3" s="337" t="s">
        <v>246</v>
      </c>
      <c r="B3" s="338"/>
      <c r="C3" s="338"/>
      <c r="D3" s="338"/>
      <c r="E3" s="338"/>
      <c r="F3" s="338"/>
    </row>
    <row r="5" spans="1:13">
      <c r="A5" s="339" t="s">
        <v>247</v>
      </c>
    </row>
    <row r="6" spans="1:13" s="1" customFormat="1" ht="35.25" customHeight="1">
      <c r="A6" s="336" t="s">
        <v>249</v>
      </c>
      <c r="B6" s="727" t="s">
        <v>248</v>
      </c>
      <c r="C6" s="727"/>
      <c r="D6" s="727"/>
      <c r="E6" s="727"/>
      <c r="F6" s="727"/>
    </row>
    <row r="8" spans="1:13" ht="36" customHeight="1">
      <c r="A8" s="727" t="s">
        <v>251</v>
      </c>
      <c r="B8" s="727"/>
      <c r="C8" s="727"/>
      <c r="D8" s="727"/>
      <c r="E8" s="727"/>
      <c r="F8" s="727"/>
      <c r="H8" s="727" t="s">
        <v>252</v>
      </c>
      <c r="I8" s="727"/>
      <c r="J8" s="727"/>
      <c r="K8" s="727"/>
      <c r="L8" s="727"/>
      <c r="M8" s="727"/>
    </row>
    <row r="46" spans="1:6" s="25" customFormat="1" ht="21">
      <c r="A46" s="337" t="s">
        <v>245</v>
      </c>
      <c r="B46" s="338"/>
      <c r="C46" s="338"/>
      <c r="D46" s="338"/>
      <c r="E46" s="338"/>
      <c r="F46" s="338"/>
    </row>
    <row r="47" spans="1:6">
      <c r="A47" s="336" t="s">
        <v>265</v>
      </c>
    </row>
    <row r="48" spans="1:6">
      <c r="A48" s="336" t="s">
        <v>266</v>
      </c>
    </row>
    <row r="50" spans="1:6">
      <c r="A50" s="339" t="s">
        <v>241</v>
      </c>
    </row>
    <row r="51" spans="1:6">
      <c r="A51" s="336" t="s">
        <v>249</v>
      </c>
      <c r="B51" s="336" t="s">
        <v>250</v>
      </c>
    </row>
    <row r="52" spans="1:6">
      <c r="A52" s="339" t="s">
        <v>268</v>
      </c>
    </row>
    <row r="53" spans="1:6">
      <c r="A53" s="339"/>
    </row>
    <row r="54" spans="1:6">
      <c r="A54" s="336" t="s">
        <v>269</v>
      </c>
    </row>
    <row r="56" spans="1:6">
      <c r="A56" s="346"/>
      <c r="B56" s="346" t="s">
        <v>177</v>
      </c>
      <c r="C56" s="346"/>
      <c r="D56"/>
      <c r="E56"/>
      <c r="F56"/>
    </row>
    <row r="57" spans="1:6">
      <c r="A57" s="346" t="s">
        <v>242</v>
      </c>
      <c r="B57" s="346" t="s">
        <v>270</v>
      </c>
      <c r="C57" s="346">
        <v>200</v>
      </c>
      <c r="D57"/>
      <c r="E57"/>
      <c r="F57"/>
    </row>
    <row r="58" spans="1:6">
      <c r="A58" s="346"/>
      <c r="B58" s="346" t="s">
        <v>271</v>
      </c>
      <c r="C58" s="346">
        <v>0</v>
      </c>
      <c r="D58"/>
      <c r="E58"/>
      <c r="F58"/>
    </row>
    <row r="59" spans="1:6">
      <c r="A59" s="346" t="s">
        <v>243</v>
      </c>
      <c r="B59" s="346" t="s">
        <v>272</v>
      </c>
      <c r="C59" s="346">
        <v>400</v>
      </c>
      <c r="D59"/>
      <c r="E59"/>
      <c r="F59"/>
    </row>
    <row r="60" spans="1:6">
      <c r="A60" s="346"/>
      <c r="B60" s="346" t="s">
        <v>273</v>
      </c>
      <c r="C60" s="346">
        <v>300</v>
      </c>
      <c r="D60"/>
      <c r="E60"/>
      <c r="F60"/>
    </row>
    <row r="61" spans="1:6">
      <c r="A61" s="346"/>
      <c r="B61" s="346" t="s">
        <v>244</v>
      </c>
      <c r="C61" s="346">
        <v>270</v>
      </c>
      <c r="D61"/>
      <c r="E61"/>
      <c r="F61"/>
    </row>
    <row r="65" spans="1:6" s="25" customFormat="1" ht="21">
      <c r="A65" s="337" t="s">
        <v>253</v>
      </c>
      <c r="B65" s="338"/>
      <c r="C65" s="338"/>
      <c r="D65" s="338"/>
      <c r="E65" s="338"/>
      <c r="F65" s="338"/>
    </row>
    <row r="67" spans="1:6">
      <c r="A67" s="336" t="s">
        <v>254</v>
      </c>
      <c r="B67" s="336" t="s">
        <v>255</v>
      </c>
    </row>
    <row r="68" spans="1:6">
      <c r="A68" s="339"/>
    </row>
    <row r="69" spans="1:6">
      <c r="A69" s="339"/>
    </row>
    <row r="70" spans="1:6">
      <c r="A70" s="339"/>
    </row>
    <row r="71" spans="1:6">
      <c r="A71" s="339"/>
    </row>
  </sheetData>
  <sheetProtection algorithmName="SHA-512" hashValue="sVCOJGyYArhe5DL+5XQDmQ2z9ReBNnZrdUOMfHgBCddkhEKkoT6qJVvp7t6YYSKCX0A+o63/1KwOcbOV4KfUfw==" saltValue="GLAysr/prYM298iGUvxzVA==" spinCount="100000" sheet="1" objects="1" scenarios="1" autoFilter="0"/>
  <mergeCells count="3">
    <mergeCell ref="A8:F8"/>
    <mergeCell ref="B6:F6"/>
    <mergeCell ref="H8:M8"/>
  </mergeCells>
  <hyperlinks>
    <hyperlink ref="A50" r:id="rId1" xr:uid="{29CB6400-EE8B-47B0-AE04-A1F37A65291D}"/>
    <hyperlink ref="A5" r:id="rId2" xr:uid="{6EBE1796-0D1B-4CB0-A7F5-6B7605DCAD0F}"/>
    <hyperlink ref="A52" r:id="rId3" location="annex_2_1/lvl_u1/lvl_2" xr:uid="{C594A062-A196-4382-AE05-8C0A45976783}"/>
  </hyperlinks>
  <pageMargins left="0.7" right="0.7" top="0.78740157499999996" bottom="0.78740157499999996" header="0.3" footer="0.3"/>
  <pageSetup paperSize="9" scale="59" orientation="portrait" r:id="rId4"/>
  <rowBreaks count="1" manualBreakCount="1">
    <brk id="64" max="16383" man="1"/>
  </rowBreaks>
  <drawing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D4B63-90E3-447D-B7BD-388AC43D4F9C}">
  <sheetPr codeName="Tabelle23"/>
  <dimension ref="A1:C12"/>
  <sheetViews>
    <sheetView workbookViewId="0"/>
  </sheetViews>
  <sheetFormatPr baseColWidth="10" defaultRowHeight="15"/>
  <cols>
    <col min="3" max="3" width="65.85546875" customWidth="1"/>
  </cols>
  <sheetData>
    <row r="1" spans="1:3">
      <c r="A1" t="s">
        <v>392</v>
      </c>
    </row>
    <row r="11" spans="1:3" ht="45">
      <c r="A11" s="526">
        <v>46002</v>
      </c>
      <c r="B11" t="s">
        <v>395</v>
      </c>
      <c r="C11" s="7" t="s">
        <v>396</v>
      </c>
    </row>
    <row r="12" spans="1:3" ht="30">
      <c r="A12" s="526">
        <v>46042</v>
      </c>
      <c r="B12" t="s">
        <v>393</v>
      </c>
      <c r="C12" s="7" t="s">
        <v>397</v>
      </c>
    </row>
  </sheetData>
  <sheetProtection algorithmName="SHA-512" hashValue="FZbsM/xFaw+U9KJR3M5YwbJhhk7Tm5auc8JNPwL1s+N1u5c0pn54H2SB51JcxhMrU4IYmK2w/CmJzVhgaxepxg==" saltValue="Yi30zjJGGlCb4T9r20x5RA==" spinCount="100000" sheet="1" objects="1" scenarios="1" autoFilter="0"/>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X94"/>
  <sheetViews>
    <sheetView workbookViewId="0">
      <selection activeCell="F61" sqref="F61"/>
    </sheetView>
  </sheetViews>
  <sheetFormatPr baseColWidth="10" defaultColWidth="0" defaultRowHeight="15" zeroHeight="1"/>
  <cols>
    <col min="1" max="1" width="3.42578125" customWidth="1"/>
    <col min="2" max="2" width="3" customWidth="1"/>
    <col min="3" max="3" width="36.85546875" customWidth="1"/>
    <col min="4" max="7" width="13.140625" customWidth="1"/>
    <col min="8" max="8" width="33.7109375" customWidth="1"/>
    <col min="9" max="9" width="17.85546875" style="23" hidden="1" customWidth="1"/>
    <col min="10" max="10" width="16.42578125" style="23" hidden="1" customWidth="1"/>
    <col min="11" max="11" width="11.42578125" style="23" hidden="1" customWidth="1"/>
    <col min="12" max="12" width="13" customWidth="1"/>
    <col min="13" max="13" width="11.140625" customWidth="1"/>
    <col min="14" max="14" width="2.7109375" customWidth="1"/>
    <col min="15" max="15" width="11.42578125" hidden="1" customWidth="1"/>
    <col min="16" max="16" width="25" hidden="1" customWidth="1"/>
    <col min="17" max="16384" width="11.42578125" hidden="1"/>
  </cols>
  <sheetData>
    <row r="1" spans="1:24" ht="15.75" thickBot="1">
      <c r="A1" s="27" t="str">
        <f ca="1">MID(CELL("dateiname",A1),SEARCH("]",CELL("dateiname",A1))+1,31)</f>
        <v>Datengrundlage</v>
      </c>
    </row>
    <row r="2" spans="1:24" ht="14.45" customHeight="1">
      <c r="B2" s="371"/>
      <c r="C2" s="372"/>
      <c r="D2" s="372"/>
      <c r="E2" s="666" t="str">
        <f>_Dok_Titel</f>
        <v>Planungshilfe
Solar- und Photovoltaikanlagen auf Schrägdächern (Art. 77 Abs. 3 und 4 BZR)
Formular-Release 2.5</v>
      </c>
      <c r="F2" s="666"/>
      <c r="G2" s="666"/>
      <c r="H2" s="666"/>
      <c r="I2" s="666"/>
      <c r="J2" s="666"/>
      <c r="K2" s="666"/>
      <c r="L2" s="666"/>
      <c r="M2" s="373"/>
      <c r="P2" s="327"/>
      <c r="Q2" s="327"/>
      <c r="R2" s="327"/>
      <c r="S2" s="327"/>
      <c r="T2" s="327"/>
      <c r="U2" s="327"/>
      <c r="V2" s="327"/>
      <c r="W2" s="327"/>
      <c r="X2" s="327"/>
    </row>
    <row r="3" spans="1:24" ht="14.45" customHeight="1">
      <c r="B3" s="374"/>
      <c r="C3" s="375"/>
      <c r="D3" s="375"/>
      <c r="E3" s="667"/>
      <c r="F3" s="667"/>
      <c r="G3" s="667"/>
      <c r="H3" s="667"/>
      <c r="I3" s="667"/>
      <c r="J3" s="667"/>
      <c r="K3" s="667"/>
      <c r="L3" s="667"/>
      <c r="M3" s="376"/>
      <c r="P3" s="327"/>
      <c r="Q3" s="327"/>
      <c r="R3" s="327"/>
      <c r="S3" s="327"/>
      <c r="T3" s="327"/>
      <c r="U3" s="327"/>
      <c r="V3" s="327"/>
      <c r="W3" s="327"/>
      <c r="X3" s="327"/>
    </row>
    <row r="4" spans="1:24" ht="51.75" customHeight="1" thickBot="1">
      <c r="B4" s="377"/>
      <c r="C4" s="378"/>
      <c r="D4" s="378"/>
      <c r="E4" s="668"/>
      <c r="F4" s="668"/>
      <c r="G4" s="668"/>
      <c r="H4" s="668"/>
      <c r="I4" s="668"/>
      <c r="J4" s="668"/>
      <c r="K4" s="668"/>
      <c r="L4" s="668"/>
      <c r="M4" s="379"/>
      <c r="P4" s="327"/>
      <c r="Q4" s="327"/>
      <c r="R4" s="327"/>
      <c r="S4" s="327"/>
      <c r="T4" s="327"/>
      <c r="U4" s="327"/>
      <c r="V4" s="327"/>
      <c r="W4" s="327"/>
      <c r="X4" s="327"/>
    </row>
    <row r="5" spans="1:24" ht="15.75" thickBot="1"/>
    <row r="6" spans="1:24" s="21" customFormat="1" ht="21.75" thickBot="1">
      <c r="B6" s="18" t="s">
        <v>26</v>
      </c>
      <c r="C6" s="19"/>
      <c r="D6" s="19"/>
      <c r="E6" s="19"/>
      <c r="F6" s="19"/>
      <c r="G6" s="19"/>
      <c r="H6" s="19"/>
      <c r="I6" s="48"/>
      <c r="J6" s="48"/>
      <c r="K6" s="48"/>
      <c r="L6" s="19"/>
      <c r="M6" s="20"/>
      <c r="O6"/>
      <c r="P6"/>
    </row>
    <row r="7" spans="1:24" s="28" customFormat="1" ht="19.899999999999999" customHeight="1">
      <c r="B7" s="551" t="s">
        <v>24</v>
      </c>
      <c r="C7" s="552"/>
      <c r="D7" s="669">
        <f>_Projektname</f>
        <v>0</v>
      </c>
      <c r="E7" s="669"/>
      <c r="F7" s="140"/>
      <c r="G7" s="649" t="str">
        <f>Bericht!J7</f>
        <v>Netzversorger:</v>
      </c>
      <c r="H7" s="649"/>
      <c r="I7" s="413"/>
      <c r="J7" s="413"/>
      <c r="K7" s="415"/>
      <c r="L7" s="662" t="str">
        <f>_Netzversorger</f>
        <v>ckw</v>
      </c>
      <c r="M7" s="663"/>
    </row>
    <row r="8" spans="1:24" s="28" customFormat="1" ht="19.899999999999999" customHeight="1">
      <c r="B8" s="553" t="s">
        <v>25</v>
      </c>
      <c r="C8" s="554"/>
      <c r="D8" s="670">
        <f>_Adresse</f>
        <v>0</v>
      </c>
      <c r="E8" s="670"/>
      <c r="F8" s="141"/>
      <c r="G8" s="650" t="str">
        <f>Bericht!J8</f>
        <v>Geplantes Datum Fertigstellung:</v>
      </c>
      <c r="H8" s="650"/>
      <c r="I8" s="414"/>
      <c r="J8" s="414"/>
      <c r="K8" s="416"/>
      <c r="L8" s="664">
        <f>_Datum_IBS</f>
        <v>0</v>
      </c>
      <c r="M8" s="665"/>
    </row>
    <row r="9" spans="1:24" s="28" customFormat="1" ht="19.899999999999999" customHeight="1">
      <c r="B9" s="553" t="s">
        <v>3</v>
      </c>
      <c r="C9" s="554"/>
      <c r="D9" s="670">
        <f>_PLZ</f>
        <v>0</v>
      </c>
      <c r="E9" s="670"/>
      <c r="F9" s="141"/>
      <c r="G9" s="650" t="s">
        <v>277</v>
      </c>
      <c r="H9" s="650"/>
      <c r="I9" s="414"/>
      <c r="J9" s="414"/>
      <c r="K9" s="416"/>
      <c r="L9" s="674">
        <f>_Letzte_REV</f>
        <v>46042</v>
      </c>
      <c r="M9" s="675"/>
    </row>
    <row r="10" spans="1:24" s="28" customFormat="1" ht="19.899999999999999" customHeight="1" thickBot="1">
      <c r="B10" s="555" t="s">
        <v>138</v>
      </c>
      <c r="C10" s="556"/>
      <c r="D10" s="655">
        <f>Bericht!D10</f>
        <v>0</v>
      </c>
      <c r="E10" s="655"/>
      <c r="F10" s="417"/>
      <c r="G10" s="556" t="s">
        <v>278</v>
      </c>
      <c r="H10" s="556"/>
      <c r="I10" s="357"/>
      <c r="J10" s="676"/>
      <c r="K10" s="676"/>
      <c r="L10" s="677">
        <f>_Nächste_REV</f>
        <v>46357</v>
      </c>
      <c r="M10" s="678"/>
    </row>
    <row r="11" spans="1:24" ht="15.75" thickBot="1"/>
    <row r="12" spans="1:24" s="21" customFormat="1" ht="21.75" thickBot="1">
      <c r="B12" s="18" t="s">
        <v>137</v>
      </c>
      <c r="C12" s="19"/>
      <c r="D12" s="19"/>
      <c r="E12" s="19"/>
      <c r="F12" s="19"/>
      <c r="G12" s="19"/>
      <c r="H12" s="19"/>
      <c r="I12" s="48"/>
      <c r="J12" s="48"/>
      <c r="K12" s="48"/>
      <c r="L12" s="19"/>
      <c r="M12" s="20"/>
      <c r="O12"/>
      <c r="P12"/>
      <c r="R12" s="28"/>
    </row>
    <row r="13" spans="1:24" s="144" customFormat="1" ht="19.899999999999999" customHeight="1">
      <c r="B13" s="145"/>
      <c r="C13" s="146"/>
      <c r="D13" s="656" t="s">
        <v>83</v>
      </c>
      <c r="E13" s="657"/>
      <c r="F13" s="121" t="s">
        <v>106</v>
      </c>
      <c r="G13" s="147"/>
      <c r="H13" s="148"/>
      <c r="I13" s="149"/>
      <c r="J13" s="149"/>
      <c r="K13" s="149"/>
      <c r="L13" s="602"/>
      <c r="M13" s="604"/>
    </row>
    <row r="14" spans="1:24" s="28" customFormat="1" ht="19.899999999999999" hidden="1" customHeight="1">
      <c r="A14" s="44"/>
      <c r="B14" s="43"/>
      <c r="C14" s="34" t="str">
        <f>Basisdaten!B17</f>
        <v>Einstrahlung horizontale Fläche</v>
      </c>
      <c r="D14" s="150">
        <f>VLOOKUP(C14,Basisdaten!B:F,3,FALSE)</f>
        <v>1100</v>
      </c>
      <c r="E14" s="151" t="str">
        <f>VLOOKUP(C14,Basisdaten!B:F,4,FALSE)</f>
        <v>kWh/m2</v>
      </c>
      <c r="F14" s="152"/>
      <c r="G14" s="153"/>
      <c r="H14" s="45"/>
      <c r="I14" s="127"/>
      <c r="J14" s="127"/>
      <c r="K14" s="34"/>
      <c r="L14" s="672"/>
      <c r="M14" s="673"/>
      <c r="R14" s="671"/>
      <c r="S14" s="671"/>
    </row>
    <row r="15" spans="1:24" s="28" customFormat="1" ht="19.899999999999999" hidden="1" customHeight="1">
      <c r="A15" s="44"/>
      <c r="B15" s="43"/>
      <c r="C15" s="34" t="s">
        <v>103</v>
      </c>
      <c r="D15" s="155">
        <f>ROUND(D14/10*0.82,0)*10</f>
        <v>900</v>
      </c>
      <c r="E15" s="154" t="s">
        <v>66</v>
      </c>
      <c r="F15" s="156"/>
      <c r="G15" s="157"/>
      <c r="H15" s="47"/>
      <c r="I15" s="158"/>
      <c r="J15" s="158"/>
      <c r="K15" s="34"/>
      <c r="L15" s="672"/>
      <c r="M15" s="673"/>
      <c r="P15" s="328"/>
      <c r="R15" s="671"/>
      <c r="S15" s="671"/>
    </row>
    <row r="16" spans="1:24" s="28" customFormat="1" ht="19.899999999999999" customHeight="1" thickBot="1">
      <c r="B16" s="72"/>
      <c r="C16" s="73" t="str">
        <f>IF(G16=E14,C14,C15)</f>
        <v>Einstrahlung horizontale Fläche</v>
      </c>
      <c r="D16" s="239">
        <f>IF(ISNUMBER(F16),F16,IF(G16=E14,D14,D15))</f>
        <v>1100</v>
      </c>
      <c r="E16" s="73" t="str">
        <f>IF(G16=E14,E14,E15)</f>
        <v>kWh/m2</v>
      </c>
      <c r="F16" s="309"/>
      <c r="G16" s="310" t="s">
        <v>134</v>
      </c>
      <c r="H16" s="240" t="str">
        <f>VLOOKUP(C14,Basisdaten!B:F,5,FALSE)</f>
        <v>Wetterstation Luzern</v>
      </c>
      <c r="I16" s="66"/>
      <c r="J16" s="326"/>
      <c r="K16" s="66"/>
      <c r="L16" s="73"/>
      <c r="M16" s="74"/>
      <c r="S16" s="329"/>
    </row>
    <row r="17" spans="1:19" s="28" customFormat="1" ht="19.899999999999999" hidden="1" customHeight="1" thickBot="1">
      <c r="A17" s="44"/>
      <c r="B17" s="43"/>
      <c r="C17" s="34" t="s">
        <v>136</v>
      </c>
      <c r="D17" s="150">
        <f>IF(E16=E15,D16,ROUND(D16/10*0.82,0)*10)</f>
        <v>900</v>
      </c>
      <c r="E17" s="151" t="s">
        <v>66</v>
      </c>
      <c r="F17" s="152"/>
      <c r="G17" s="153"/>
      <c r="H17" s="45"/>
      <c r="I17" s="127"/>
      <c r="J17" s="127"/>
      <c r="K17" s="34"/>
      <c r="L17" s="672"/>
      <c r="M17" s="673"/>
      <c r="R17" s="671"/>
      <c r="S17" s="671"/>
    </row>
    <row r="18" spans="1:19" ht="15.75" thickBot="1">
      <c r="B18" s="159"/>
      <c r="C18" s="159"/>
      <c r="D18" s="159"/>
      <c r="E18" s="159"/>
      <c r="F18" s="159"/>
      <c r="G18" s="159"/>
      <c r="H18" s="159"/>
      <c r="I18" s="160"/>
      <c r="J18" s="160"/>
      <c r="K18" s="160"/>
      <c r="L18" s="159"/>
      <c r="M18" s="159"/>
    </row>
    <row r="19" spans="1:19" s="21" customFormat="1" ht="21.75" thickBot="1">
      <c r="B19" s="18" t="s">
        <v>227</v>
      </c>
      <c r="C19" s="19"/>
      <c r="D19" s="457" t="str">
        <f>"(Referenz: "&amp;_Bez_Modul_St&amp;")"</f>
        <v>(Referenz: LONGi Hi-MO X10 Explorer LR7-54HVH-485M)</v>
      </c>
      <c r="E19" s="19"/>
      <c r="F19" s="19"/>
      <c r="G19" s="19"/>
      <c r="H19" s="19"/>
      <c r="I19" s="48"/>
      <c r="J19" s="48"/>
      <c r="K19" s="48"/>
      <c r="L19" s="19"/>
      <c r="M19" s="20"/>
      <c r="O19"/>
      <c r="P19"/>
    </row>
    <row r="20" spans="1:19" s="144" customFormat="1" ht="19.899999999999999" customHeight="1">
      <c r="B20" s="161"/>
      <c r="C20" s="162"/>
      <c r="D20" s="658" t="s">
        <v>83</v>
      </c>
      <c r="E20" s="659"/>
      <c r="F20" s="635" t="s">
        <v>106</v>
      </c>
      <c r="G20" s="648"/>
      <c r="H20" s="100"/>
      <c r="I20" s="149"/>
      <c r="J20" s="149"/>
      <c r="K20" s="149"/>
      <c r="L20" s="602"/>
      <c r="M20" s="604"/>
    </row>
    <row r="21" spans="1:19" s="398" customFormat="1" ht="19.899999999999999" hidden="1" customHeight="1">
      <c r="B21" s="399"/>
      <c r="C21" s="42" t="str">
        <f>Basisdaten!B21</f>
        <v>Modulbezeichnung</v>
      </c>
      <c r="D21" s="400" t="str">
        <f>IF(ISNUMBER(F21),F21,VLOOKUP(C21,Basisdaten!B:E,3,FALSE))</f>
        <v>LONGi Hi-MO X10 Explorer LR7-54HVH-485M</v>
      </c>
      <c r="E21" s="401"/>
      <c r="F21" s="402"/>
      <c r="G21" s="403"/>
      <c r="H21" s="44"/>
      <c r="I21" s="44"/>
      <c r="J21" s="44"/>
      <c r="K21" s="44"/>
      <c r="L21" s="404"/>
      <c r="M21" s="405"/>
    </row>
    <row r="22" spans="1:19" s="28" customFormat="1" ht="19.899999999999999" customHeight="1">
      <c r="B22" s="33"/>
      <c r="C22" s="35" t="str">
        <f>Basisdaten!B22</f>
        <v>Modulleistung</v>
      </c>
      <c r="D22" s="171">
        <f>IF(ISNUMBER(F22),F22,VLOOKUP(C22,Basisdaten!B:E,3,FALSE))</f>
        <v>485</v>
      </c>
      <c r="E22" s="172" t="str">
        <f>VLOOKUP(C22,Basisdaten!B:E,4,FALSE)</f>
        <v>Wp</v>
      </c>
      <c r="F22" s="311"/>
      <c r="G22" s="172" t="str">
        <f>E22</f>
        <v>Wp</v>
      </c>
      <c r="I22" s="44"/>
      <c r="J22" s="44"/>
      <c r="K22" s="44"/>
      <c r="M22" s="86"/>
    </row>
    <row r="23" spans="1:19" s="28" customFormat="1" ht="19.899999999999999" hidden="1" customHeight="1">
      <c r="A23" s="44"/>
      <c r="B23" s="43"/>
      <c r="C23" s="34" t="str">
        <f>Basisdaten!B24</f>
        <v>Leistungsgarantie % nach 25 J.</v>
      </c>
      <c r="D23" s="164">
        <f>IF(ISNUMBER(F23),F23,VLOOKUP(C23,Basisdaten!B:E,3,FALSE))</f>
        <v>90.708333333333329</v>
      </c>
      <c r="E23" s="165" t="str">
        <f>VLOOKUP(C23,Basisdaten!B:E,4,FALSE)</f>
        <v>%/25J</v>
      </c>
      <c r="F23" s="311"/>
      <c r="G23" s="165" t="str">
        <f t="shared" ref="G23:G26" si="0">E23</f>
        <v>%/25J</v>
      </c>
      <c r="H23" s="44"/>
      <c r="I23" s="44"/>
      <c r="J23" s="44"/>
      <c r="K23" s="44"/>
      <c r="L23" s="44"/>
      <c r="M23" s="167"/>
    </row>
    <row r="24" spans="1:19" s="28" customFormat="1" ht="19.899999999999999" hidden="1" customHeight="1">
      <c r="A24" s="44"/>
      <c r="B24" s="43"/>
      <c r="C24" s="34" t="s">
        <v>7</v>
      </c>
      <c r="D24" s="168" cm="1">
        <f t="array" ref="D24">(100-_Degradation_Standard)/25</f>
        <v>0.37166666666666687</v>
      </c>
      <c r="E24" s="44" t="s">
        <v>8</v>
      </c>
      <c r="F24" s="311"/>
      <c r="G24" s="165" t="str">
        <f t="shared" si="0"/>
        <v>% / Jahr</v>
      </c>
      <c r="H24" s="44"/>
      <c r="I24" s="44"/>
      <c r="J24" s="44"/>
      <c r="K24" s="44"/>
      <c r="L24" s="169"/>
      <c r="M24" s="170"/>
    </row>
    <row r="25" spans="1:19" s="28" customFormat="1" ht="19.899999999999999" customHeight="1">
      <c r="B25" s="33"/>
      <c r="C25" s="35" t="str">
        <f>Basisdaten!B25</f>
        <v>Länge</v>
      </c>
      <c r="D25" s="455">
        <f>IF(ISNUMBER(F25),F25,VLOOKUP(C25,Basisdaten!B:E,3,FALSE))</f>
        <v>1.8</v>
      </c>
      <c r="E25" s="172" t="str">
        <f>VLOOKUP(C25,Basisdaten!B:E,4,FALSE)</f>
        <v>m</v>
      </c>
      <c r="F25" s="311"/>
      <c r="G25" s="172" t="str">
        <f t="shared" si="0"/>
        <v>m</v>
      </c>
      <c r="I25" s="44"/>
      <c r="J25" s="44"/>
      <c r="K25" s="44"/>
      <c r="M25" s="86"/>
    </row>
    <row r="26" spans="1:19" s="28" customFormat="1" ht="19.899999999999999" customHeight="1" thickBot="1">
      <c r="B26" s="36"/>
      <c r="C26" s="37" t="str">
        <f>Basisdaten!B26</f>
        <v>Breite</v>
      </c>
      <c r="D26" s="456">
        <f>IF(ISNUMBER(F26),F26,VLOOKUP(C26,Basisdaten!B:E,3,FALSE))</f>
        <v>1.1339999999999999</v>
      </c>
      <c r="E26" s="174" t="str">
        <f>VLOOKUP(C26,Basisdaten!B:E,4,FALSE)</f>
        <v>m</v>
      </c>
      <c r="F26" s="312"/>
      <c r="G26" s="174" t="str">
        <f t="shared" si="0"/>
        <v>m</v>
      </c>
      <c r="H26" s="101"/>
      <c r="I26" s="142"/>
      <c r="J26" s="142"/>
      <c r="K26" s="142"/>
      <c r="L26" s="101"/>
      <c r="M26" s="176"/>
    </row>
    <row r="27" spans="1:19" ht="15.75" thickBot="1"/>
    <row r="28" spans="1:19" s="21" customFormat="1" ht="21.75" thickBot="1">
      <c r="B28" s="18" t="s">
        <v>296</v>
      </c>
      <c r="C28" s="19"/>
      <c r="D28" s="457" t="str">
        <f>"(Referenz: "&amp;_Bez_Modul_Sat&amp;")"</f>
        <v>(Referenz: SoliTek SOLID Bifacial Doppelglas Framed Full black Anti-Glare 425W - (FB, R35, EVO2))</v>
      </c>
      <c r="E28" s="19"/>
      <c r="F28" s="19"/>
      <c r="G28" s="19"/>
      <c r="H28" s="19"/>
      <c r="I28" s="48"/>
      <c r="J28" s="48"/>
      <c r="K28" s="48"/>
      <c r="L28" s="19"/>
      <c r="M28" s="20"/>
      <c r="O28"/>
      <c r="P28"/>
    </row>
    <row r="29" spans="1:19" s="144" customFormat="1" ht="19.899999999999999" customHeight="1">
      <c r="B29" s="161"/>
      <c r="C29" s="162"/>
      <c r="D29" s="656" t="s">
        <v>83</v>
      </c>
      <c r="E29" s="657"/>
      <c r="F29" s="635" t="s">
        <v>106</v>
      </c>
      <c r="G29" s="648"/>
      <c r="H29" s="100"/>
      <c r="I29" s="149"/>
      <c r="J29" s="149"/>
      <c r="K29" s="149"/>
      <c r="L29" s="602"/>
      <c r="M29" s="604"/>
    </row>
    <row r="30" spans="1:19" s="44" customFormat="1" ht="19.899999999999999" hidden="1" customHeight="1">
      <c r="B30" s="206"/>
      <c r="C30" s="42" t="str">
        <f>Basisdaten!B30</f>
        <v>Modulbezeichnung (blendarm)</v>
      </c>
      <c r="D30" s="406" t="str">
        <f>IF(ISNUMBER(F30),F30,VLOOKUP(C30,Basisdaten!B:E,3,FALSE))</f>
        <v>SoliTek SOLID Bifacial Doppelglas Framed Full black Anti-Glare 425W - (FB, R35, EVO2)</v>
      </c>
      <c r="E30" s="256"/>
      <c r="F30" s="402"/>
      <c r="G30" s="256"/>
      <c r="M30" s="167"/>
    </row>
    <row r="31" spans="1:19" s="28" customFormat="1" ht="19.899999999999999" customHeight="1">
      <c r="B31" s="33"/>
      <c r="C31" s="35" t="str">
        <f>Basisdaten!B31</f>
        <v>Modulleistung (blendarm)</v>
      </c>
      <c r="D31" s="171">
        <f>IF(ISNUMBER(F31),F31,VLOOKUP(C31,Basisdaten!B:E,3,FALSE))</f>
        <v>425</v>
      </c>
      <c r="E31" s="172" t="str">
        <f>VLOOKUP(C31,Basisdaten!B:E,4,FALSE)</f>
        <v>Wp</v>
      </c>
      <c r="F31" s="311"/>
      <c r="G31" s="172" t="str">
        <f t="shared" ref="G31:G35" si="1">E31</f>
        <v>Wp</v>
      </c>
      <c r="I31" s="44"/>
      <c r="J31" s="44"/>
      <c r="K31" s="44"/>
      <c r="M31" s="86"/>
    </row>
    <row r="32" spans="1:19" s="28" customFormat="1" ht="19.899999999999999" hidden="1" customHeight="1">
      <c r="A32" s="44"/>
      <c r="B32" s="43"/>
      <c r="C32" s="34" t="str">
        <f>Basisdaten!B33</f>
        <v>Leistungsgarantie % nach 25 J. (blendarm)</v>
      </c>
      <c r="D32" s="164"/>
      <c r="E32" s="34"/>
      <c r="F32" s="311"/>
      <c r="G32" s="165"/>
      <c r="H32" s="44"/>
      <c r="I32" s="44" t="s">
        <v>240</v>
      </c>
      <c r="J32" s="44"/>
      <c r="K32" s="44"/>
      <c r="L32" s="169"/>
      <c r="M32" s="170"/>
    </row>
    <row r="33" spans="1:16" s="28" customFormat="1" ht="19.899999999999999" hidden="1" customHeight="1">
      <c r="A33" s="44"/>
      <c r="B33" s="43"/>
      <c r="C33" s="34" t="s">
        <v>7</v>
      </c>
      <c r="D33" s="168"/>
      <c r="E33" s="34"/>
      <c r="F33" s="311"/>
      <c r="G33" s="165"/>
      <c r="H33" s="44"/>
      <c r="I33" s="44" t="s">
        <v>240</v>
      </c>
      <c r="J33" s="44"/>
      <c r="K33" s="44"/>
      <c r="L33" s="169"/>
      <c r="M33" s="170"/>
    </row>
    <row r="34" spans="1:16" s="28" customFormat="1" ht="19.899999999999999" customHeight="1">
      <c r="B34" s="33"/>
      <c r="C34" s="35" t="str">
        <f>Basisdaten!B34</f>
        <v>Länge (blendarm)</v>
      </c>
      <c r="D34" s="455">
        <f>IF(ISNUMBER(F34),F34,VLOOKUP(C34,Basisdaten!B:E,3,FALSE))</f>
        <v>1.722</v>
      </c>
      <c r="E34" s="172" t="str">
        <f>VLOOKUP(C34,Basisdaten!B:E,4,FALSE)</f>
        <v>m</v>
      </c>
      <c r="F34" s="311"/>
      <c r="G34" s="172" t="str">
        <f t="shared" si="1"/>
        <v>m</v>
      </c>
      <c r="I34" s="44"/>
      <c r="J34" s="44"/>
      <c r="K34" s="44"/>
      <c r="M34" s="86"/>
    </row>
    <row r="35" spans="1:16" s="28" customFormat="1" ht="19.899999999999999" customHeight="1" thickBot="1">
      <c r="B35" s="36"/>
      <c r="C35" s="37" t="str">
        <f>Basisdaten!B35</f>
        <v>Breite (blendarm)</v>
      </c>
      <c r="D35" s="456">
        <f>IF(ISNUMBER(F35),F35,VLOOKUP(C35,Basisdaten!B:E,3,FALSE))</f>
        <v>1.1339999999999999</v>
      </c>
      <c r="E35" s="174" t="str">
        <f>VLOOKUP(C35,Basisdaten!B:E,4,FALSE)</f>
        <v>m</v>
      </c>
      <c r="F35" s="312"/>
      <c r="G35" s="174" t="str">
        <f t="shared" si="1"/>
        <v>m</v>
      </c>
      <c r="H35" s="101"/>
      <c r="I35" s="142"/>
      <c r="J35" s="142"/>
      <c r="K35" s="142"/>
      <c r="L35" s="101"/>
      <c r="M35" s="176"/>
    </row>
    <row r="36" spans="1:16" ht="15.75" thickBot="1"/>
    <row r="37" spans="1:16" s="21" customFormat="1" ht="21.75" thickBot="1">
      <c r="B37" s="18" t="s">
        <v>233</v>
      </c>
      <c r="C37" s="19"/>
      <c r="D37" s="19"/>
      <c r="E37" s="19"/>
      <c r="F37" s="19"/>
      <c r="G37" s="19"/>
      <c r="H37" s="19"/>
      <c r="I37" s="48"/>
      <c r="J37" s="48"/>
      <c r="K37" s="48"/>
      <c r="L37" s="19"/>
      <c r="M37" s="20"/>
      <c r="O37"/>
      <c r="P37"/>
    </row>
    <row r="38" spans="1:16" s="144" customFormat="1" ht="19.899999999999999" customHeight="1">
      <c r="B38" s="161"/>
      <c r="C38" s="162"/>
      <c r="D38" s="651" t="s">
        <v>83</v>
      </c>
      <c r="E38" s="652"/>
      <c r="F38" s="653" t="s">
        <v>106</v>
      </c>
      <c r="G38" s="654"/>
      <c r="H38" s="100"/>
      <c r="I38" s="149"/>
      <c r="J38" s="149"/>
      <c r="K38" s="149"/>
      <c r="L38" s="602"/>
      <c r="M38" s="604"/>
    </row>
    <row r="39" spans="1:16" s="28" customFormat="1" ht="19.899999999999999" customHeight="1">
      <c r="B39" s="33"/>
      <c r="C39" s="35" t="str">
        <f>Basisdaten!B40</f>
        <v>Randabstand</v>
      </c>
      <c r="D39" s="171">
        <f>IF(ISNUMBER(F39),F39,VLOOKUP(C39,Basisdaten!B:E,3,FALSE))</f>
        <v>0.2</v>
      </c>
      <c r="E39" s="172" t="str">
        <f>VLOOKUP(C39,Basisdaten!B:E,4,FALSE)</f>
        <v>m</v>
      </c>
      <c r="F39" s="311"/>
      <c r="G39" s="172" t="str">
        <f>E39</f>
        <v>m</v>
      </c>
      <c r="I39" s="44"/>
      <c r="J39" s="44"/>
      <c r="K39" s="44"/>
      <c r="M39" s="86"/>
    </row>
    <row r="40" spans="1:16" s="28" customFormat="1" ht="19.899999999999999" customHeight="1">
      <c r="B40" s="33"/>
      <c r="C40" s="35" t="str">
        <f>Basisdaten!B41</f>
        <v>Zeilenabstand</v>
      </c>
      <c r="D40" s="171">
        <f>IF(ISNUMBER(F40),F40,VLOOKUP(C40,Basisdaten!B:E,3,FALSE))</f>
        <v>0.02</v>
      </c>
      <c r="E40" s="172" t="str">
        <f>VLOOKUP(C40,Basisdaten!B:E,4,FALSE)</f>
        <v>m</v>
      </c>
      <c r="F40" s="311"/>
      <c r="G40" s="172" t="str">
        <f>E40</f>
        <v>m</v>
      </c>
      <c r="I40" s="44"/>
      <c r="J40" s="44"/>
      <c r="K40" s="44"/>
      <c r="M40" s="86"/>
    </row>
    <row r="41" spans="1:16" s="28" customFormat="1" ht="19.899999999999999" customHeight="1" thickBot="1">
      <c r="B41" s="36"/>
      <c r="C41" s="37" t="str">
        <f>Basisdaten!B42</f>
        <v>Spaltenabstand</v>
      </c>
      <c r="D41" s="173">
        <f>IF(ISNUMBER(F41),F41,VLOOKUP(C41,Basisdaten!B:E,3,FALSE))</f>
        <v>0.02</v>
      </c>
      <c r="E41" s="174" t="str">
        <f>VLOOKUP(C41,Basisdaten!B:E,4,FALSE)</f>
        <v>m</v>
      </c>
      <c r="F41" s="312"/>
      <c r="G41" s="174" t="str">
        <f>E41</f>
        <v>m</v>
      </c>
      <c r="H41" s="101"/>
      <c r="I41" s="142"/>
      <c r="J41" s="142"/>
      <c r="K41" s="142"/>
      <c r="L41" s="101"/>
      <c r="M41" s="176"/>
    </row>
    <row r="42" spans="1:16" ht="15.75" thickBot="1"/>
    <row r="43" spans="1:16" s="21" customFormat="1" ht="21.75" thickBot="1">
      <c r="B43" s="18" t="str">
        <f>IF(_Ist_MWSt,"Tarif / Energieversorger (inkl. MWSt.)","Tarif / Energieversorger (exkl. MWSt.)")</f>
        <v>Tarif / Energieversorger (exkl. MWSt.)</v>
      </c>
      <c r="C43" s="19"/>
      <c r="D43" s="19"/>
      <c r="E43" s="19"/>
      <c r="F43" s="19"/>
      <c r="G43" s="19"/>
      <c r="H43" s="19"/>
      <c r="I43" s="48"/>
      <c r="J43" s="48"/>
      <c r="K43" s="48"/>
      <c r="L43" s="19"/>
      <c r="M43" s="20"/>
      <c r="O43"/>
      <c r="P43"/>
    </row>
    <row r="44" spans="1:16" s="28" customFormat="1" ht="19.899999999999999" customHeight="1">
      <c r="B44" s="177"/>
      <c r="C44" s="131" t="str">
        <f>Basisdaten!B45</f>
        <v>Netzversorger</v>
      </c>
      <c r="D44" s="635" t="str">
        <f>_Netzversorger</f>
        <v>ckw</v>
      </c>
      <c r="E44" s="648"/>
      <c r="F44" s="148"/>
      <c r="G44" s="100"/>
      <c r="H44" s="100"/>
      <c r="I44" s="149"/>
      <c r="J44" s="178"/>
      <c r="K44" s="178"/>
      <c r="L44" s="100"/>
      <c r="M44" s="179"/>
    </row>
    <row r="45" spans="1:16" s="28" customFormat="1" ht="19.899999999999999" customHeight="1">
      <c r="B45" s="33"/>
      <c r="C45" s="35" t="str">
        <f>Basisdaten!B47</f>
        <v>Rückliefertarif</v>
      </c>
      <c r="D45" s="182">
        <f>_MWSt_Faktor*VLOOKUP(C45,Basisdaten!B:E,3,FALSE)</f>
        <v>12.4495</v>
      </c>
      <c r="E45" s="172" t="str">
        <f>VLOOKUP(C45,Basisdaten!B:E,4,FALSE)</f>
        <v>Rp./kWh</v>
      </c>
      <c r="F45" s="183"/>
      <c r="H45" s="28" t="str">
        <f>D44&amp;" "&amp;VLOOKUP(C45,Basisdaten!B:F,5,FALSE)</f>
        <v>ckw Referenz Marktpreis nach Art. 15, EnFV (Ø 4 Jahre)</v>
      </c>
      <c r="I45" s="180"/>
      <c r="J45" s="181"/>
      <c r="K45" s="181"/>
      <c r="M45" s="86"/>
    </row>
    <row r="46" spans="1:16" s="28" customFormat="1" ht="19.899999999999999" customHeight="1">
      <c r="B46" s="33"/>
      <c r="C46" s="35" t="str">
        <f>Basisdaten!B48</f>
        <v>HKN</v>
      </c>
      <c r="D46" s="182">
        <f ca="1">IF(_Anlageleistung_ges.Min&lt;=D47,_MWSt_Faktor*VLOOKUP(C46,Basisdaten!B:E,3,FALSE),"")</f>
        <v>2</v>
      </c>
      <c r="E46" s="172" t="s">
        <v>35</v>
      </c>
      <c r="F46" s="163"/>
      <c r="H46" s="28" t="str">
        <f>VLOOKUP(C46,Basisdaten!B:F,5,FALSE)</f>
        <v>Bei Anlageleistung &lt;= 100kVA</v>
      </c>
      <c r="I46" s="180"/>
      <c r="J46" s="181"/>
      <c r="K46" s="181"/>
      <c r="M46" s="86"/>
    </row>
    <row r="47" spans="1:16" s="28" customFormat="1" ht="19.899999999999999" hidden="1" customHeight="1">
      <c r="A47" s="44"/>
      <c r="B47" s="43"/>
      <c r="C47" s="34" t="str">
        <f>Basisdaten!B49</f>
        <v>HKN Tarif Schwellwert</v>
      </c>
      <c r="D47" s="168">
        <f>IF(ISNUMBER(F47),F47,VLOOKUP(C47,Basisdaten!B:E,3,FALSE))</f>
        <v>100</v>
      </c>
      <c r="E47" s="165" t="s">
        <v>186</v>
      </c>
      <c r="F47" s="166"/>
      <c r="G47" s="44"/>
      <c r="H47" s="44" t="str">
        <f>VLOOKUP(C47,Basisdaten!B:F,5,FALSE)</f>
        <v>HKN bis und mit 100 kVA HKN  ab 100 kVA</v>
      </c>
      <c r="I47" s="184"/>
      <c r="J47" s="184"/>
      <c r="K47" s="185"/>
      <c r="L47" s="44"/>
      <c r="M47" s="167"/>
    </row>
    <row r="48" spans="1:16" s="28" customFormat="1" ht="19.899999999999999" customHeight="1">
      <c r="B48" s="33"/>
      <c r="C48" s="35" t="str">
        <f>Basisdaten!B50</f>
        <v xml:space="preserve">HKN </v>
      </c>
      <c r="D48" s="182" t="str">
        <f ca="1">IF(_Anlageleistung_ges.Min&gt;D47,_MWSt_Faktor*VLOOKUP(C48,Basisdaten!B:E,3,FALSE),"")</f>
        <v/>
      </c>
      <c r="E48" s="172" t="s">
        <v>35</v>
      </c>
      <c r="F48" s="163"/>
      <c r="H48" s="28" t="str">
        <f>VLOOKUP(C48,Basisdaten!B:F,5,FALSE)</f>
        <v>Bei Anlageleistung &gt; 100kVA</v>
      </c>
      <c r="I48" s="180"/>
      <c r="J48" s="181"/>
      <c r="K48" s="181"/>
      <c r="M48" s="86"/>
    </row>
    <row r="49" spans="2:18" s="28" customFormat="1" ht="19.899999999999999" customHeight="1">
      <c r="B49" s="229"/>
      <c r="C49" s="230" t="s">
        <v>141</v>
      </c>
      <c r="D49" s="231">
        <f ca="1">SUM(D45,D46,D48)</f>
        <v>14.4495</v>
      </c>
      <c r="E49" s="232" t="s">
        <v>35</v>
      </c>
      <c r="F49" s="163"/>
      <c r="I49" s="180"/>
      <c r="J49" s="181"/>
      <c r="K49" s="181"/>
      <c r="M49" s="86"/>
    </row>
    <row r="50" spans="2:18" s="28" customFormat="1" ht="19.899999999999999" customHeight="1">
      <c r="B50" s="33"/>
      <c r="C50" s="35" t="str">
        <f>Basisdaten!B52</f>
        <v>Energiebezug EVU</v>
      </c>
      <c r="D50" s="182">
        <f>_MWSt_Faktor*VLOOKUP(C50,Basisdaten!B:E,3,FALSE)</f>
        <v>16.574999999999999</v>
      </c>
      <c r="E50" s="172" t="s">
        <v>35</v>
      </c>
      <c r="F50" s="183"/>
      <c r="H50" s="28" t="str">
        <f>D44&amp;" "&amp;VLOOKUP(C50,Basisdaten!B:F,5,FALSE)</f>
        <v>ckw MeinRegioStrom Ø 3 Jahre</v>
      </c>
      <c r="I50" s="180"/>
      <c r="J50" s="181"/>
      <c r="K50" s="181"/>
      <c r="L50" s="190"/>
      <c r="M50" s="191"/>
    </row>
    <row r="51" spans="2:18" s="28" customFormat="1" ht="19.899999999999999" customHeight="1">
      <c r="B51" s="33"/>
      <c r="C51" s="35" t="str">
        <f>Basisdaten!B53</f>
        <v>Netznutzung EVU</v>
      </c>
      <c r="D51" s="182">
        <f>_MWSt_Faktor*VLOOKUP(C51,Basisdaten!B:E,3,FALSE)</f>
        <v>7.6825000000000001</v>
      </c>
      <c r="E51" s="172" t="s">
        <v>35</v>
      </c>
      <c r="F51" s="163"/>
      <c r="I51" s="180"/>
      <c r="J51" s="181"/>
      <c r="K51" s="181"/>
      <c r="M51" s="86"/>
    </row>
    <row r="52" spans="2:18" s="28" customFormat="1" ht="19.899999999999999" customHeight="1">
      <c r="B52" s="33"/>
      <c r="C52" s="35" t="str">
        <f>Basisdaten!B54</f>
        <v>Systemdienstleistung</v>
      </c>
      <c r="D52" s="182">
        <f>_MWSt_Faktor*VLOOKUP(C52,Basisdaten!B:E,3,FALSE)</f>
        <v>0.50750000000000006</v>
      </c>
      <c r="E52" s="172" t="s">
        <v>35</v>
      </c>
      <c r="F52" s="163"/>
      <c r="I52" s="180"/>
      <c r="J52" s="181"/>
      <c r="K52" s="181"/>
      <c r="M52" s="86"/>
    </row>
    <row r="53" spans="2:18" s="28" customFormat="1" ht="19.899999999999999" customHeight="1">
      <c r="B53" s="33"/>
      <c r="C53" s="35" t="str">
        <f>Basisdaten!B55</f>
        <v>Gemeindeabgaben + Stromreserve</v>
      </c>
      <c r="D53" s="182">
        <f>_MWSt_Faktor*VLOOKUP(C53,Basisdaten!B:E,3,FALSE)</f>
        <v>1.8949999999999998</v>
      </c>
      <c r="E53" s="172" t="s">
        <v>35</v>
      </c>
      <c r="F53" s="163"/>
      <c r="I53" s="180"/>
      <c r="J53" s="181"/>
      <c r="K53" s="181"/>
      <c r="M53" s="86"/>
    </row>
    <row r="54" spans="2:18" s="28" customFormat="1" ht="19.899999999999999" customHeight="1">
      <c r="B54" s="33"/>
      <c r="C54" s="35" t="str">
        <f>Basisdaten!B56</f>
        <v>KEV Abgabe</v>
      </c>
      <c r="D54" s="182">
        <f>_MWSt_Faktor*VLOOKUP(C54,Basisdaten!B:E,3,FALSE)</f>
        <v>2.2999999999999998</v>
      </c>
      <c r="E54" s="172" t="s">
        <v>35</v>
      </c>
      <c r="F54" s="163"/>
      <c r="I54" s="180"/>
      <c r="J54" s="181"/>
      <c r="K54" s="181"/>
      <c r="M54" s="86"/>
    </row>
    <row r="55" spans="2:18" s="28" customFormat="1" ht="19.899999999999999" customHeight="1" thickBot="1">
      <c r="B55" s="225"/>
      <c r="C55" s="226" t="s">
        <v>65</v>
      </c>
      <c r="D55" s="227">
        <f>SUM(D50:D54)</f>
        <v>28.96</v>
      </c>
      <c r="E55" s="228" t="s">
        <v>35</v>
      </c>
      <c r="F55" s="175"/>
      <c r="G55" s="101"/>
      <c r="H55" s="101"/>
      <c r="I55" s="193"/>
      <c r="J55" s="194"/>
      <c r="K55" s="194"/>
      <c r="L55" s="101"/>
      <c r="M55" s="176"/>
    </row>
    <row r="56" spans="2:18" ht="15.75" thickBot="1"/>
    <row r="57" spans="2:18" s="21" customFormat="1" ht="21.75" thickBot="1">
      <c r="B57" s="18" t="str">
        <f>IF(_Ist_MWSt,"Wirtschaftlichkeit (inkl. MWSt.)","Wirtschaftlichkeit (exkl. MWSt.)")</f>
        <v>Wirtschaftlichkeit (exkl. MWSt.)</v>
      </c>
      <c r="C57" s="19"/>
      <c r="D57" s="19"/>
      <c r="E57" s="19"/>
      <c r="F57" s="19"/>
      <c r="G57" s="19"/>
      <c r="H57" s="19"/>
      <c r="I57" s="48"/>
      <c r="J57" s="48"/>
      <c r="K57" s="48"/>
      <c r="L57" s="19"/>
      <c r="M57" s="20"/>
      <c r="O57"/>
      <c r="P57"/>
    </row>
    <row r="58" spans="2:18" s="144" customFormat="1" ht="19.899999999999999" customHeight="1">
      <c r="B58" s="161"/>
      <c r="C58" s="162"/>
      <c r="D58" s="651" t="s">
        <v>83</v>
      </c>
      <c r="E58" s="652"/>
      <c r="F58" s="660" t="s">
        <v>106</v>
      </c>
      <c r="G58" s="661"/>
      <c r="H58" s="100"/>
      <c r="I58" s="149"/>
      <c r="J58" s="149"/>
      <c r="K58" s="149"/>
      <c r="L58" s="602"/>
      <c r="M58" s="604"/>
    </row>
    <row r="59" spans="2:18" s="28" customFormat="1" ht="19.899999999999999" customHeight="1">
      <c r="B59" s="33"/>
      <c r="C59" s="35" t="str">
        <f>Basisdaten!B60</f>
        <v>Zulässige Amortisationszeit</v>
      </c>
      <c r="D59" s="195">
        <f>VLOOKUP(C59,Basisdaten!B:E,3,FALSE)</f>
        <v>20</v>
      </c>
      <c r="E59" s="172" t="str">
        <f>VLOOKUP(C59,Basisdaten!B:E,4,FALSE)</f>
        <v>Jahre</v>
      </c>
      <c r="F59" s="325"/>
      <c r="G59" s="199"/>
      <c r="H59" s="28" t="str">
        <f>VLOOKUP(C59,Basisdaten!B:F,5,FALSE)</f>
        <v>Gesetzgeber</v>
      </c>
      <c r="I59" s="185"/>
      <c r="J59" s="185"/>
      <c r="K59" s="181"/>
      <c r="L59" s="190"/>
      <c r="M59" s="191"/>
    </row>
    <row r="60" spans="2:18" s="28" customFormat="1" ht="19.899999999999999" customHeight="1">
      <c r="B60" s="33"/>
      <c r="C60" s="35" t="str">
        <f>Basisdaten!B61</f>
        <v>Kapitalverzinsung</v>
      </c>
      <c r="D60" s="182">
        <f>VLOOKUP(C60,Basisdaten!B:E,3,FALSE)</f>
        <v>1.25</v>
      </c>
      <c r="E60" s="172" t="str">
        <f>VLOOKUP(C60,Basisdaten!B:E,4,FALSE)</f>
        <v>%</v>
      </c>
      <c r="F60" s="171"/>
      <c r="G60" s="172"/>
      <c r="H60" s="28" t="str">
        <f>VLOOKUP(C60,Basisdaten!B:F,5,FALSE)</f>
        <v>Referenzzinssatz</v>
      </c>
      <c r="I60" s="196"/>
      <c r="J60" s="181"/>
      <c r="K60" s="181"/>
      <c r="L60" s="190"/>
      <c r="M60" s="191"/>
    </row>
    <row r="61" spans="2:18" s="28" customFormat="1" ht="19.899999999999999" customHeight="1">
      <c r="B61" s="33"/>
      <c r="C61" s="35" t="str">
        <f>Basisdaten!B62</f>
        <v>Eigennutzungsgrad</v>
      </c>
      <c r="D61" s="195">
        <f>IF(ISNUMBER(F61),F61,VLOOKUP(C61,Basisdaten!B:E,3,FALSE))</f>
        <v>25</v>
      </c>
      <c r="E61" s="172" t="s">
        <v>5</v>
      </c>
      <c r="F61" s="311"/>
      <c r="G61" s="172" t="str">
        <f>E61</f>
        <v>%</v>
      </c>
      <c r="H61" s="28" t="str">
        <f>VLOOKUP(C61,Basisdaten!B:F,5,FALSE)</f>
        <v>Gesetzgeber</v>
      </c>
      <c r="I61" s="185"/>
      <c r="J61" s="185"/>
      <c r="K61" s="181"/>
      <c r="L61" s="190"/>
      <c r="M61" s="191"/>
    </row>
    <row r="62" spans="2:18" s="28" customFormat="1" ht="19.899999999999999" customHeight="1" thickBot="1">
      <c r="B62" s="36"/>
      <c r="C62" s="37" t="str">
        <f>Basisdaten!B63</f>
        <v>Tarif Unterhalt (exkl. MWSt.)</v>
      </c>
      <c r="D62" s="192">
        <f>IF(ISNUMBER(F62),F62,VLOOKUP(C62,Basisdaten!B:E,3,FALSE))</f>
        <v>3</v>
      </c>
      <c r="E62" s="174" t="s">
        <v>35</v>
      </c>
      <c r="F62" s="312"/>
      <c r="G62" s="174" t="str">
        <f>E62</f>
        <v>Rp./kWh</v>
      </c>
      <c r="H62" s="101" t="str">
        <f>VLOOKUP(C62,Basisdaten!B:F,5,FALSE)</f>
        <v>Gesetzgeber</v>
      </c>
      <c r="I62" s="194"/>
      <c r="J62" s="194"/>
      <c r="K62" s="194"/>
      <c r="L62" s="197"/>
      <c r="M62" s="198"/>
    </row>
    <row r="63" spans="2:18" ht="15.75" thickBot="1"/>
    <row r="64" spans="2:18" s="21" customFormat="1" ht="21.75" thickBot="1">
      <c r="B64" s="18" t="str">
        <f>IF(_Ist_MWSt,"Anlagekosten (inkl. MWSt.)","Anlagekosten (exkl. MWSt.)")</f>
        <v>Anlagekosten (exkl. MWSt.)</v>
      </c>
      <c r="C64" s="19"/>
      <c r="D64" s="19"/>
      <c r="E64" s="19"/>
      <c r="F64" s="19"/>
      <c r="G64" s="19"/>
      <c r="H64" s="19"/>
      <c r="I64" s="48"/>
      <c r="J64" s="48"/>
      <c r="K64" s="48"/>
      <c r="L64" s="19"/>
      <c r="M64" s="20"/>
      <c r="O64"/>
      <c r="P64"/>
      <c r="Q64" s="329"/>
      <c r="R64" s="28"/>
    </row>
    <row r="65" spans="1:18" s="28" customFormat="1" ht="19.899999999999999" customHeight="1">
      <c r="B65" s="177"/>
      <c r="C65" s="131" t="s">
        <v>145</v>
      </c>
      <c r="D65" s="656" t="s">
        <v>199</v>
      </c>
      <c r="E65" s="657"/>
      <c r="F65" s="595" t="s">
        <v>200</v>
      </c>
      <c r="G65" s="595"/>
      <c r="H65" s="148"/>
      <c r="I65" s="149"/>
      <c r="J65" s="178"/>
      <c r="K65" s="178"/>
      <c r="L65" s="100"/>
      <c r="M65" s="179"/>
      <c r="Q65" s="328"/>
    </row>
    <row r="66" spans="1:18" s="28" customFormat="1" ht="19.899999999999999" customHeight="1">
      <c r="B66" s="72"/>
      <c r="C66" s="73" t="s">
        <v>143</v>
      </c>
      <c r="D66" s="245">
        <f ca="1">_Anlageleistung_Max</f>
        <v>0</v>
      </c>
      <c r="E66" s="199" t="s">
        <v>133</v>
      </c>
      <c r="F66" s="245">
        <f ca="1">_Anlageleistung_ges.Min</f>
        <v>0</v>
      </c>
      <c r="G66" s="199" t="s">
        <v>133</v>
      </c>
      <c r="H66" s="163"/>
      <c r="I66" s="44"/>
      <c r="J66" s="189"/>
      <c r="K66" s="189"/>
      <c r="M66" s="86"/>
    </row>
    <row r="67" spans="1:18" s="28" customFormat="1" ht="19.899999999999999" customHeight="1">
      <c r="B67" s="33"/>
      <c r="C67" s="35" t="str">
        <f>Basisdaten!A66</f>
        <v>Referenzkosten PV</v>
      </c>
      <c r="D67" s="200">
        <f ca="1">IFERROR(Basisdaten!D68*_MWSt_Faktor,0)</f>
        <v>0</v>
      </c>
      <c r="E67" s="172" t="s">
        <v>60</v>
      </c>
      <c r="F67" s="200">
        <f ca="1">IFERROR(Basisdaten!D69*_MWSt_Faktor,0)</f>
        <v>0</v>
      </c>
      <c r="G67" s="172" t="s">
        <v>60</v>
      </c>
      <c r="H67" s="28" t="str">
        <f>VLOOKUP(C67,Basisdaten!A:F,6,FALSE)</f>
        <v>Photovoltaikmarkt-
Beobachtungsstudie (Anhang)</v>
      </c>
      <c r="I67" s="44"/>
      <c r="J67" s="189"/>
      <c r="K67" s="189"/>
      <c r="M67" s="86"/>
    </row>
    <row r="68" spans="1:18" s="28" customFormat="1" ht="19.899999999999999" customHeight="1">
      <c r="B68" s="33"/>
      <c r="C68" s="35" t="s">
        <v>306</v>
      </c>
      <c r="D68" s="200">
        <f>_Referenzkosten_blendfrei*_MWSt_Faktor</f>
        <v>155.69999999999999</v>
      </c>
      <c r="E68" s="172" t="s">
        <v>147</v>
      </c>
      <c r="F68" s="200">
        <f>_Referenzkosten_blendfrei*_MWSt_Faktor</f>
        <v>155.69999999999999</v>
      </c>
      <c r="G68" s="172" t="s">
        <v>147</v>
      </c>
      <c r="H68" s="201" t="s">
        <v>305</v>
      </c>
      <c r="I68" s="185"/>
      <c r="J68" s="196"/>
      <c r="K68" s="169"/>
      <c r="M68" s="86"/>
    </row>
    <row r="69" spans="1:18" s="28" customFormat="1" ht="19.899999999999999" customHeight="1" thickBot="1">
      <c r="B69" s="36"/>
      <c r="C69" s="37" t="str">
        <f>Basisdaten!B18</f>
        <v>Ausrichtung Blendgefahr</v>
      </c>
      <c r="D69" s="202">
        <f>VLOOKUP(C69,Basisdaten!B:E,3,FALSE)</f>
        <v>45</v>
      </c>
      <c r="E69" s="174" t="s">
        <v>54</v>
      </c>
      <c r="F69" s="203">
        <f>VLOOKUP(C69,Basisdaten!B:E,3,FALSE)</f>
        <v>45</v>
      </c>
      <c r="G69" s="174" t="s">
        <v>54</v>
      </c>
      <c r="H69" s="101" t="str">
        <f>VLOOKUP(C69,Basisdaten!B:F,5,FALSE)</f>
        <v>(+/- Abweichung von Norden 180°/-180°)</v>
      </c>
      <c r="I69" s="204"/>
      <c r="J69" s="205"/>
      <c r="K69" s="143"/>
      <c r="L69" s="101"/>
      <c r="M69" s="176"/>
    </row>
    <row r="70" spans="1:18" ht="15.75" thickBot="1"/>
    <row r="71" spans="1:18" s="21" customFormat="1" ht="21.75" thickBot="1">
      <c r="B71" s="18" t="str">
        <f>"Förderung "&amp;Basisdaten!B72&amp;" "&amp;TEXT(Basisdaten!D72,"TT.MM.JJ")</f>
        <v>Förderung gültig bei IBS ab 01.04.25</v>
      </c>
      <c r="C71" s="19"/>
      <c r="D71" s="19"/>
      <c r="E71" s="19"/>
      <c r="F71" s="19"/>
      <c r="G71" s="19"/>
      <c r="H71" s="19"/>
      <c r="I71" s="48"/>
      <c r="J71" s="48"/>
      <c r="K71" s="48"/>
      <c r="L71" s="19"/>
      <c r="M71" s="20"/>
      <c r="O71"/>
      <c r="P71"/>
      <c r="Q71" s="329"/>
      <c r="R71" s="28"/>
    </row>
    <row r="72" spans="1:18" s="28" customFormat="1" ht="19.899999999999999" customHeight="1">
      <c r="B72" s="177"/>
      <c r="C72" s="131" t="s">
        <v>145</v>
      </c>
      <c r="D72" s="656" t="s">
        <v>199</v>
      </c>
      <c r="E72" s="657"/>
      <c r="F72" s="595" t="s">
        <v>200</v>
      </c>
      <c r="G72" s="595"/>
      <c r="H72" s="148"/>
      <c r="I72" s="178" t="s">
        <v>177</v>
      </c>
      <c r="J72" s="260" t="s">
        <v>178</v>
      </c>
      <c r="K72" s="178"/>
      <c r="L72" s="100"/>
      <c r="M72" s="179"/>
      <c r="Q72" s="328"/>
    </row>
    <row r="73" spans="1:18" s="28" customFormat="1" ht="19.899999999999999" hidden="1" customHeight="1">
      <c r="A73" s="44"/>
      <c r="B73" s="206"/>
      <c r="C73" s="42" t="str">
        <f>Basisdaten!B74</f>
        <v>EIV Pauschalbeitrag 2-5 kWp</v>
      </c>
      <c r="D73" s="207">
        <f ca="1">IF(AND(_Anlageleistung_Max&gt;2,_Anlageleistung_Max&lt;5),$J73,0)</f>
        <v>0</v>
      </c>
      <c r="E73" s="208" t="s">
        <v>34</v>
      </c>
      <c r="F73" s="209">
        <f ca="1">IF(AND(_Anlageleistung_ges.Min&gt;2,_Anlageleistung_ges.Min&lt;5),$J73,0)</f>
        <v>0</v>
      </c>
      <c r="G73" s="208" t="s">
        <v>34</v>
      </c>
      <c r="H73" s="210"/>
      <c r="I73" s="259">
        <f>VLOOKUP(C73,Basisdaten!B:E,4,FALSE)</f>
        <v>5</v>
      </c>
      <c r="J73" s="257">
        <f>VLOOKUP(C73,Basisdaten!B:E,3,FALSE)</f>
        <v>0</v>
      </c>
      <c r="K73" s="189"/>
      <c r="L73" s="44"/>
      <c r="M73" s="167"/>
    </row>
    <row r="74" spans="1:18" s="28" customFormat="1" ht="19.899999999999999" hidden="1" customHeight="1">
      <c r="A74" s="44"/>
      <c r="B74" s="251"/>
      <c r="C74" s="66" t="str">
        <f>Basisdaten!B76</f>
        <v>Leistungsbeitrag  &lt; 30 kVA</v>
      </c>
      <c r="D74" s="252">
        <f ca="1">MIN(_Anlageleistung_Max,$I74)*$J74</f>
        <v>0</v>
      </c>
      <c r="E74" s="253" t="s">
        <v>60</v>
      </c>
      <c r="F74" s="254">
        <f ca="1">$J74*MIN(_Anlageleistung_ges.Min,$I74)</f>
        <v>0</v>
      </c>
      <c r="G74" s="253" t="s">
        <v>60</v>
      </c>
      <c r="H74" s="210"/>
      <c r="I74" s="259">
        <f>VLOOKUP(C74,Basisdaten!B:E,4,FALSE)</f>
        <v>30</v>
      </c>
      <c r="J74" s="258">
        <f>VLOOKUP(C74,Basisdaten!B:E,3,FALSE)</f>
        <v>360</v>
      </c>
      <c r="K74" s="189"/>
      <c r="L74" s="44"/>
      <c r="M74" s="167"/>
    </row>
    <row r="75" spans="1:18" s="28" customFormat="1" ht="19.899999999999999" hidden="1" customHeight="1">
      <c r="A75" s="44"/>
      <c r="B75" s="43"/>
      <c r="C75" s="34" t="str">
        <f>Basisdaten!B77</f>
        <v>Leistungsbeitrag 30 - 100 kVA</v>
      </c>
      <c r="D75" s="212">
        <f ca="1">$J75*MAX(MIN(($I75-$I74),MIN(_Anlageleistung_Max-$I74)),0)</f>
        <v>0</v>
      </c>
      <c r="E75" s="154" t="s">
        <v>60</v>
      </c>
      <c r="F75" s="47">
        <f ca="1">$J75*MAX(MIN(($I75-$I74),MIN(_Anlageleistung_ges.Min-$I74)),0)</f>
        <v>0</v>
      </c>
      <c r="G75" s="154" t="s">
        <v>60</v>
      </c>
      <c r="H75" s="210"/>
      <c r="I75" s="259">
        <f>VLOOKUP(C75,Basisdaten!B:E,4,FALSE)</f>
        <v>100</v>
      </c>
      <c r="J75" s="258">
        <f>VLOOKUP(C75,Basisdaten!B:E,3,FALSE)</f>
        <v>300</v>
      </c>
      <c r="K75" s="189"/>
      <c r="L75" s="44"/>
      <c r="M75" s="167"/>
    </row>
    <row r="76" spans="1:18" s="28" customFormat="1" ht="19.899999999999999" hidden="1" customHeight="1">
      <c r="A76" s="44"/>
      <c r="B76" s="43"/>
      <c r="C76" s="34" t="str">
        <f>Basisdaten!B78</f>
        <v>Leistungsbeitrag &gt; 100 kVA</v>
      </c>
      <c r="D76" s="212">
        <f ca="1">$J76*MAX(MIN(($I76-$I75),MIN(_Anlageleistung_Max-$I75)),0)</f>
        <v>0</v>
      </c>
      <c r="E76" s="154" t="s">
        <v>60</v>
      </c>
      <c r="F76" s="47">
        <f ca="1">$J76*MAX(MIN(($I76-$I75),MIN(_Anlageleistung_ges.Min-$I75)),0)</f>
        <v>0</v>
      </c>
      <c r="G76" s="154" t="s">
        <v>60</v>
      </c>
      <c r="H76" s="210"/>
      <c r="I76" s="259">
        <f>VLOOKUP(C76,Basisdaten!B:E,4,FALSE)</f>
        <v>5000</v>
      </c>
      <c r="J76" s="258">
        <f>VLOOKUP(C76,Basisdaten!B:E,3,FALSE)</f>
        <v>250</v>
      </c>
      <c r="K76" s="189"/>
      <c r="L76" s="44"/>
      <c r="M76" s="167"/>
    </row>
    <row r="77" spans="1:18" s="28" customFormat="1" ht="19.899999999999999" customHeight="1">
      <c r="B77" s="33"/>
      <c r="C77" s="35" t="s">
        <v>340</v>
      </c>
      <c r="D77" s="200">
        <f ca="1">SUM(D73:D76)</f>
        <v>0</v>
      </c>
      <c r="E77" s="172" t="s">
        <v>34</v>
      </c>
      <c r="F77" s="200">
        <f ca="1">SUM(F73:F76)</f>
        <v>0</v>
      </c>
      <c r="G77" s="172" t="s">
        <v>34</v>
      </c>
      <c r="H77" s="255" t="s">
        <v>378</v>
      </c>
      <c r="I77" s="213"/>
      <c r="J77" s="196"/>
      <c r="K77" s="189"/>
      <c r="M77" s="86"/>
    </row>
    <row r="78" spans="1:18" s="28" customFormat="1" ht="19.899999999999999" customHeight="1">
      <c r="B78" s="186"/>
      <c r="C78" s="187" t="s">
        <v>109</v>
      </c>
      <c r="D78" s="214">
        <f>_EIV_t</f>
        <v>1</v>
      </c>
      <c r="E78" s="188" t="s">
        <v>45</v>
      </c>
      <c r="F78" s="215">
        <f>_EIV_t</f>
        <v>1</v>
      </c>
      <c r="G78" s="188" t="s">
        <v>45</v>
      </c>
      <c r="H78" s="216"/>
      <c r="I78" s="211"/>
      <c r="J78" s="196"/>
      <c r="K78" s="189"/>
      <c r="M78" s="86"/>
    </row>
    <row r="79" spans="1:18" s="28" customFormat="1" ht="19.899999999999999" customHeight="1">
      <c r="B79" s="33"/>
      <c r="C79" s="35" t="s">
        <v>280</v>
      </c>
      <c r="D79" s="200">
        <f ca="1">_EIV_Max*_EF_Ansatz/100</f>
        <v>0</v>
      </c>
      <c r="E79" s="172" t="s">
        <v>34</v>
      </c>
      <c r="F79" s="200">
        <f ca="1">_EIV_Ges.Min*_EF_Ansatz/100</f>
        <v>0</v>
      </c>
      <c r="G79" s="172" t="s">
        <v>34</v>
      </c>
      <c r="H79" s="255" t="str">
        <f>"Einmalverg. durch Stadt Luzern ("&amp;_EF_Ansatz&amp;"% der EIV Leistung)"</f>
        <v>Einmalverg. durch Stadt Luzern (20% der EIV Leistung)</v>
      </c>
      <c r="I79" s="463"/>
      <c r="J79" s="196"/>
      <c r="K79" s="189"/>
      <c r="M79" s="86"/>
    </row>
    <row r="80" spans="1:18" s="28" customFormat="1" ht="19.899999999999999" customHeight="1" thickBot="1">
      <c r="B80" s="36"/>
      <c r="C80" s="37" t="s">
        <v>109</v>
      </c>
      <c r="D80" s="203">
        <f>_EF_t</f>
        <v>1</v>
      </c>
      <c r="E80" s="174" t="s">
        <v>45</v>
      </c>
      <c r="F80" s="173">
        <f>_EF_t</f>
        <v>1</v>
      </c>
      <c r="G80" s="174" t="s">
        <v>45</v>
      </c>
      <c r="H80" s="217"/>
      <c r="I80" s="218"/>
      <c r="J80" s="205"/>
      <c r="K80" s="219"/>
      <c r="L80" s="101"/>
      <c r="M80" s="176"/>
    </row>
    <row r="81"/>
    <row r="82"/>
    <row r="83"/>
    <row r="84"/>
    <row r="85"/>
    <row r="86"/>
    <row r="87"/>
    <row r="88"/>
    <row r="89"/>
    <row r="90"/>
    <row r="91"/>
    <row r="92"/>
    <row r="93"/>
    <row r="94"/>
  </sheetData>
  <sheetProtection algorithmName="SHA-512" hashValue="BFgYPUnHvBJoRCX1ophIsc8E5oTgG7/RmEH3qrRBULuCm/JgSA+KJSMLbTHqIXQLCj7GiFoWsXXzl609KqwAOg==" saltValue="qghGMQ24EfoudaNV3pDRXA==" spinCount="100000" sheet="1" objects="1" scenarios="1" selectLockedCells="1" autoFilter="0"/>
  <mergeCells count="43">
    <mergeCell ref="L9:M9"/>
    <mergeCell ref="D29:E29"/>
    <mergeCell ref="F29:G29"/>
    <mergeCell ref="L29:M29"/>
    <mergeCell ref="D9:E9"/>
    <mergeCell ref="J10:K10"/>
    <mergeCell ref="L10:M10"/>
    <mergeCell ref="R14:S14"/>
    <mergeCell ref="L15:M15"/>
    <mergeCell ref="R15:S15"/>
    <mergeCell ref="F20:G20"/>
    <mergeCell ref="R17:S17"/>
    <mergeCell ref="L17:M17"/>
    <mergeCell ref="L14:M14"/>
    <mergeCell ref="L7:M7"/>
    <mergeCell ref="L8:M8"/>
    <mergeCell ref="E2:L4"/>
    <mergeCell ref="D7:E7"/>
    <mergeCell ref="D8:E8"/>
    <mergeCell ref="D65:E65"/>
    <mergeCell ref="F65:G65"/>
    <mergeCell ref="D72:E72"/>
    <mergeCell ref="F72:G72"/>
    <mergeCell ref="D58:E58"/>
    <mergeCell ref="F58:G58"/>
    <mergeCell ref="D38:E38"/>
    <mergeCell ref="F38:G38"/>
    <mergeCell ref="L38:M38"/>
    <mergeCell ref="D10:E10"/>
    <mergeCell ref="L58:M58"/>
    <mergeCell ref="L13:M13"/>
    <mergeCell ref="D13:E13"/>
    <mergeCell ref="D44:E44"/>
    <mergeCell ref="D20:E20"/>
    <mergeCell ref="L20:M20"/>
    <mergeCell ref="B7:C7"/>
    <mergeCell ref="B8:C8"/>
    <mergeCell ref="B9:C9"/>
    <mergeCell ref="B10:C10"/>
    <mergeCell ref="G7:H7"/>
    <mergeCell ref="G8:H8"/>
    <mergeCell ref="G9:H9"/>
    <mergeCell ref="G10:H10"/>
  </mergeCells>
  <conditionalFormatting sqref="C46:H46 H46:H48">
    <cfRule type="expression" dxfId="2" priority="3">
      <formula>$D$47=0</formula>
    </cfRule>
  </conditionalFormatting>
  <conditionalFormatting sqref="C46:H46">
    <cfRule type="expression" dxfId="1" priority="1">
      <formula>$D$46=""</formula>
    </cfRule>
  </conditionalFormatting>
  <conditionalFormatting sqref="C48:H48">
    <cfRule type="expression" dxfId="0" priority="2">
      <formula>$D$48=""</formula>
    </cfRule>
  </conditionalFormatting>
  <dataValidations count="1">
    <dataValidation type="list" allowBlank="1" showInputMessage="1" showErrorMessage="1" sqref="G16" xr:uid="{00000000-0002-0000-0200-000000000000}">
      <formula1>$E$14:$E$15</formula1>
    </dataValidation>
  </dataValidations>
  <pageMargins left="0.7" right="0.7" top="0.78740157499999996" bottom="0.78740157499999996" header="0.3" footer="0.3"/>
  <pageSetup paperSize="9" scale="56"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S67"/>
  <sheetViews>
    <sheetView workbookViewId="0">
      <selection activeCell="C54" sqref="C54"/>
    </sheetView>
  </sheetViews>
  <sheetFormatPr baseColWidth="10" defaultColWidth="0" defaultRowHeight="15" zeroHeight="1"/>
  <cols>
    <col min="1" max="1" width="4.7109375" customWidth="1"/>
    <col min="2" max="2" width="8.28515625" customWidth="1"/>
    <col min="3" max="3" width="24.85546875" customWidth="1"/>
    <col min="4" max="4" width="7.85546875" style="23" hidden="1" customWidth="1"/>
    <col min="5" max="5" width="12.28515625" customWidth="1"/>
    <col min="6" max="8" width="14.42578125" customWidth="1"/>
    <col min="9" max="10" width="11.42578125" customWidth="1"/>
    <col min="11" max="11" width="12.7109375" bestFit="1" customWidth="1"/>
    <col min="12" max="12" width="5.28515625" customWidth="1"/>
    <col min="13" max="16384" width="11.42578125" hidden="1"/>
  </cols>
  <sheetData>
    <row r="1" spans="1:19" ht="15.75" thickBot="1">
      <c r="A1" s="27" t="str">
        <f ca="1">MID(CELL("dateiname",A1),SEARCH("]",CELL("dateiname",A1))+1,31)</f>
        <v>TF (1)</v>
      </c>
    </row>
    <row r="2" spans="1:19" ht="15" customHeight="1">
      <c r="B2" s="380"/>
      <c r="C2" s="381"/>
      <c r="D2" s="381"/>
      <c r="E2" s="666" t="str">
        <f>_Dok_Titel</f>
        <v>Planungshilfe
Solar- und Photovoltaikanlagen auf Schrägdächern (Art. 77 Abs. 3 und 4 BZR)
Formular-Release 2.5</v>
      </c>
      <c r="F2" s="666"/>
      <c r="G2" s="666"/>
      <c r="H2" s="666"/>
      <c r="I2" s="666"/>
      <c r="J2" s="666"/>
      <c r="K2" s="382"/>
    </row>
    <row r="3" spans="1:19" ht="15" customHeight="1">
      <c r="B3" s="383"/>
      <c r="C3" s="384"/>
      <c r="D3" s="384"/>
      <c r="E3" s="667"/>
      <c r="F3" s="667"/>
      <c r="G3" s="667"/>
      <c r="H3" s="667"/>
      <c r="I3" s="667"/>
      <c r="J3" s="667"/>
      <c r="K3" s="385"/>
    </row>
    <row r="4" spans="1:19" ht="34.15" customHeight="1" thickBot="1">
      <c r="B4" s="386"/>
      <c r="C4" s="387"/>
      <c r="D4" s="387"/>
      <c r="E4" s="668"/>
      <c r="F4" s="668"/>
      <c r="G4" s="668"/>
      <c r="H4" s="668"/>
      <c r="I4" s="668"/>
      <c r="J4" s="668"/>
      <c r="K4" s="388"/>
    </row>
    <row r="5" spans="1:19" ht="15.75" thickBot="1"/>
    <row r="6" spans="1:19" s="21" customFormat="1" ht="21.75" thickBot="1">
      <c r="B6" s="18" t="str">
        <f ca="1">"Zusammenstellung Kennwerte Teilfläche "&amp;MID(CELL("dateiname",A1),SEARCH("]",CELL("dateiname",A1))+1,31)</f>
        <v>Zusammenstellung Kennwerte Teilfläche TF (1)</v>
      </c>
      <c r="C6" s="19"/>
      <c r="D6" s="48"/>
      <c r="E6" s="19"/>
      <c r="F6" s="19"/>
      <c r="G6" s="19"/>
      <c r="H6" s="19"/>
      <c r="I6" s="19"/>
      <c r="J6" s="19"/>
      <c r="K6" s="20"/>
      <c r="O6"/>
      <c r="P6"/>
      <c r="Q6"/>
      <c r="R6"/>
      <c r="S6"/>
    </row>
    <row r="7" spans="1:19" ht="15.75" thickBot="1"/>
    <row r="8" spans="1:19" s="21" customFormat="1" ht="21.75" thickBot="1">
      <c r="B8" s="18" t="s">
        <v>26</v>
      </c>
      <c r="C8" s="19"/>
      <c r="D8" s="48"/>
      <c r="E8" s="19"/>
      <c r="F8" s="19"/>
      <c r="G8" s="19"/>
      <c r="H8" s="19"/>
      <c r="I8" s="19"/>
      <c r="J8" s="19"/>
      <c r="K8" s="20"/>
      <c r="O8"/>
      <c r="P8"/>
      <c r="Q8"/>
      <c r="R8"/>
      <c r="S8"/>
    </row>
    <row r="9" spans="1:19" s="28" customFormat="1" ht="19.899999999999999" customHeight="1">
      <c r="B9" s="551" t="str">
        <f>Bericht!B7</f>
        <v>Projektname</v>
      </c>
      <c r="C9" s="552"/>
      <c r="D9" s="415"/>
      <c r="E9" s="669">
        <f>_Projektname</f>
        <v>0</v>
      </c>
      <c r="F9" s="669"/>
      <c r="G9" s="426"/>
      <c r="H9" s="649" t="str">
        <f>Bericht!J7</f>
        <v>Netzversorger:</v>
      </c>
      <c r="I9" s="649"/>
      <c r="J9" s="649"/>
      <c r="K9" s="138" t="str">
        <f>_Netzversorger</f>
        <v>ckw</v>
      </c>
    </row>
    <row r="10" spans="1:19" s="28" customFormat="1" ht="19.899999999999999" customHeight="1">
      <c r="B10" s="553" t="str">
        <f>Bericht!B8</f>
        <v>Adresse</v>
      </c>
      <c r="C10" s="554"/>
      <c r="D10" s="416"/>
      <c r="E10" s="670">
        <f>_Adresse</f>
        <v>0</v>
      </c>
      <c r="F10" s="670"/>
      <c r="G10" s="427"/>
      <c r="H10" s="650" t="str">
        <f>Bericht!J8</f>
        <v>Geplantes Datum Fertigstellung:</v>
      </c>
      <c r="I10" s="650"/>
      <c r="J10" s="650"/>
      <c r="K10" s="139">
        <f>_Datum_IBS</f>
        <v>0</v>
      </c>
      <c r="L10" s="410"/>
    </row>
    <row r="11" spans="1:19" s="28" customFormat="1" ht="19.899999999999999" customHeight="1">
      <c r="B11" s="553" t="str">
        <f>Bericht!B9</f>
        <v>PLZ Ort</v>
      </c>
      <c r="C11" s="554"/>
      <c r="D11" s="416"/>
      <c r="E11" s="670">
        <f>_PLZ</f>
        <v>0</v>
      </c>
      <c r="F11" s="670"/>
      <c r="G11" s="427"/>
      <c r="H11" s="650" t="s">
        <v>277</v>
      </c>
      <c r="I11" s="650"/>
      <c r="J11" s="650"/>
      <c r="K11" s="409">
        <f>_Letzte_REV</f>
        <v>46042</v>
      </c>
      <c r="L11" s="411"/>
    </row>
    <row r="12" spans="1:19" s="28" customFormat="1" ht="19.899999999999999" customHeight="1" thickBot="1">
      <c r="B12" s="680" t="s">
        <v>138</v>
      </c>
      <c r="C12" s="681"/>
      <c r="D12" s="31"/>
      <c r="E12" s="655">
        <f>Bericht!D10</f>
        <v>0</v>
      </c>
      <c r="F12" s="655"/>
      <c r="G12" s="428"/>
      <c r="H12" s="31" t="s">
        <v>278</v>
      </c>
      <c r="I12" s="31"/>
      <c r="J12" s="31"/>
      <c r="K12" s="358">
        <f>_Nächste_REV</f>
        <v>46357</v>
      </c>
      <c r="L12" s="411"/>
    </row>
    <row r="13" spans="1:19" ht="15.75" thickBot="1"/>
    <row r="14" spans="1:19" s="21" customFormat="1" ht="21.75" thickBot="1">
      <c r="B14" s="18" t="s">
        <v>75</v>
      </c>
      <c r="C14" s="19"/>
      <c r="D14" s="48"/>
      <c r="E14" s="19"/>
      <c r="F14" s="19"/>
      <c r="G14" s="19"/>
      <c r="H14" s="19"/>
      <c r="I14" s="19"/>
      <c r="J14" s="19"/>
      <c r="K14" s="20"/>
      <c r="O14"/>
      <c r="P14"/>
      <c r="Q14"/>
      <c r="R14"/>
      <c r="S14"/>
    </row>
    <row r="15" spans="1:19" s="28" customFormat="1" ht="19.899999999999999" customHeight="1">
      <c r="B15" s="40" t="s">
        <v>93</v>
      </c>
      <c r="C15" s="41"/>
      <c r="D15" s="42" t="s">
        <v>155</v>
      </c>
      <c r="E15" s="679"/>
      <c r="F15" s="679"/>
      <c r="G15" s="41"/>
      <c r="H15" s="41"/>
      <c r="I15" s="41"/>
      <c r="J15" s="41"/>
      <c r="K15" s="39"/>
    </row>
    <row r="16" spans="1:19" s="28" customFormat="1" ht="19.899999999999999" customHeight="1">
      <c r="B16" s="682" t="s">
        <v>355</v>
      </c>
      <c r="C16" s="616"/>
      <c r="D16" s="66" t="s">
        <v>366</v>
      </c>
      <c r="E16" s="489" t="s">
        <v>358</v>
      </c>
      <c r="F16" s="29"/>
      <c r="G16" s="73" t="s">
        <v>356</v>
      </c>
      <c r="H16" s="73"/>
      <c r="I16" s="73"/>
      <c r="J16" s="73"/>
      <c r="K16" s="74"/>
      <c r="M16" s="28" t="s">
        <v>357</v>
      </c>
    </row>
    <row r="17" spans="2:19" s="28" customFormat="1" ht="19.899999999999999" customHeight="1">
      <c r="B17" s="72" t="s">
        <v>96</v>
      </c>
      <c r="C17" s="73"/>
      <c r="D17" s="66" t="s">
        <v>129</v>
      </c>
      <c r="E17" s="270"/>
      <c r="F17" s="65" t="s">
        <v>127</v>
      </c>
      <c r="G17" s="73" t="s">
        <v>234</v>
      </c>
      <c r="H17" s="73"/>
      <c r="I17" s="73"/>
      <c r="J17" s="73"/>
      <c r="K17" s="74"/>
      <c r="M17" s="28" t="s">
        <v>358</v>
      </c>
    </row>
    <row r="18" spans="2:19" s="28" customFormat="1" ht="19.899999999999999" customHeight="1">
      <c r="B18" s="33" t="s">
        <v>94</v>
      </c>
      <c r="C18" s="35"/>
      <c r="D18" s="34" t="s">
        <v>37</v>
      </c>
      <c r="E18" s="271"/>
      <c r="F18" s="29" t="s">
        <v>54</v>
      </c>
      <c r="G18" s="35" t="s">
        <v>67</v>
      </c>
      <c r="H18" s="35"/>
      <c r="I18" s="35"/>
      <c r="J18" s="35"/>
      <c r="K18" s="30"/>
    </row>
    <row r="19" spans="2:19" s="28" customFormat="1" ht="19.899999999999999" customHeight="1" thickBot="1">
      <c r="B19" s="36" t="s">
        <v>95</v>
      </c>
      <c r="C19" s="37"/>
      <c r="D19" s="71" t="s">
        <v>38</v>
      </c>
      <c r="E19" s="272"/>
      <c r="F19" s="31" t="s">
        <v>54</v>
      </c>
      <c r="G19" s="37" t="s">
        <v>68</v>
      </c>
      <c r="H19" s="37"/>
      <c r="I19" s="37"/>
      <c r="J19" s="37"/>
      <c r="K19" s="32"/>
    </row>
    <row r="20" spans="2:19" s="23" customFormat="1" ht="15" hidden="1" customHeight="1">
      <c r="C20" s="23" t="s">
        <v>74</v>
      </c>
      <c r="E20" s="23">
        <f>RADIANS(E18)</f>
        <v>0</v>
      </c>
    </row>
    <row r="21" spans="2:19" s="23" customFormat="1" hidden="1">
      <c r="C21" s="23" t="s">
        <v>71</v>
      </c>
      <c r="E21" s="23">
        <f>-RADIANS(E19)</f>
        <v>0</v>
      </c>
    </row>
    <row r="22" spans="2:19" ht="15.75" thickBot="1"/>
    <row r="23" spans="2:19" s="21" customFormat="1" ht="21.75" thickBot="1">
      <c r="B23" s="18" t="s">
        <v>50</v>
      </c>
      <c r="C23" s="19"/>
      <c r="D23" s="48"/>
      <c r="E23" s="19"/>
      <c r="F23" s="19"/>
      <c r="G23" s="19"/>
      <c r="H23" s="19"/>
      <c r="I23" s="19"/>
      <c r="J23" s="19"/>
      <c r="K23" s="20"/>
      <c r="O23"/>
      <c r="P23"/>
      <c r="Q23"/>
      <c r="R23"/>
      <c r="S23"/>
    </row>
    <row r="24" spans="2:19" s="28" customFormat="1" ht="19.899999999999999" customHeight="1">
      <c r="B24" s="40" t="s">
        <v>51</v>
      </c>
      <c r="C24" s="41"/>
      <c r="D24" s="42" t="s">
        <v>76</v>
      </c>
      <c r="E24" s="687" t="s">
        <v>105</v>
      </c>
      <c r="F24" s="687"/>
      <c r="G24" s="41" t="s">
        <v>104</v>
      </c>
      <c r="H24" s="41" t="s">
        <v>105</v>
      </c>
      <c r="I24" s="41"/>
      <c r="J24" s="41"/>
      <c r="K24" s="39"/>
    </row>
    <row r="25" spans="2:19" s="28" customFormat="1" ht="19.899999999999999" customHeight="1">
      <c r="B25" s="72" t="s">
        <v>229</v>
      </c>
      <c r="C25" s="73"/>
      <c r="D25" s="66" t="s">
        <v>235</v>
      </c>
      <c r="E25" s="485" t="str">
        <f>IF((ABS($E18)+_AbweichungNord)&gt;180,"Satiniert","Standard")</f>
        <v>Standard</v>
      </c>
      <c r="F25" s="485"/>
      <c r="G25" s="73"/>
      <c r="H25" s="73"/>
      <c r="I25" s="73"/>
      <c r="J25" s="73"/>
      <c r="K25" s="74"/>
    </row>
    <row r="26" spans="2:19" s="28" customFormat="1" ht="19.899999999999999" customHeight="1">
      <c r="B26" s="33" t="s">
        <v>49</v>
      </c>
      <c r="C26" s="35"/>
      <c r="D26" s="34" t="s">
        <v>40</v>
      </c>
      <c r="E26" s="29">
        <f>IF((ABS($E18)+_AbweichungNord)&gt;180,_Modulleistung_Satin,_Modulleistung_Standard)</f>
        <v>485</v>
      </c>
      <c r="F26" s="29" t="s">
        <v>58</v>
      </c>
      <c r="G26" s="35" t="str">
        <f ca="1">"Modulleistung definiert im Tab "&amp;Datengrundlage!A1&amp;""</f>
        <v>Modulleistung definiert im Tab Datengrundlage</v>
      </c>
      <c r="H26" s="35"/>
      <c r="I26" s="35"/>
      <c r="J26" s="35"/>
      <c r="K26" s="30"/>
    </row>
    <row r="27" spans="2:19" s="28" customFormat="1" ht="19.899999999999999" customHeight="1">
      <c r="B27" s="33" t="s">
        <v>196</v>
      </c>
      <c r="C27" s="35"/>
      <c r="D27" s="34" t="s">
        <v>97</v>
      </c>
      <c r="E27" s="273"/>
      <c r="F27" s="29" t="s">
        <v>99</v>
      </c>
      <c r="G27" s="35" t="s">
        <v>202</v>
      </c>
      <c r="H27" s="35"/>
      <c r="I27" s="35"/>
      <c r="J27" s="35"/>
      <c r="K27" s="30"/>
    </row>
    <row r="28" spans="2:19" s="28" customFormat="1" ht="19.899999999999999" customHeight="1" thickBot="1">
      <c r="B28" s="36" t="s">
        <v>195</v>
      </c>
      <c r="C28" s="37"/>
      <c r="D28" s="71" t="s">
        <v>154</v>
      </c>
      <c r="E28" s="313">
        <f>E27</f>
        <v>0</v>
      </c>
      <c r="F28" s="31" t="s">
        <v>99</v>
      </c>
      <c r="G28" s="37" t="s">
        <v>203</v>
      </c>
      <c r="H28" s="37"/>
      <c r="I28" s="37"/>
      <c r="J28" s="37"/>
      <c r="K28" s="32"/>
    </row>
    <row r="29" spans="2:19" ht="15.75" thickBot="1"/>
    <row r="30" spans="2:19" s="21" customFormat="1" ht="21.75" thickBot="1">
      <c r="B30" s="18" t="s">
        <v>281</v>
      </c>
      <c r="C30" s="19"/>
      <c r="D30" s="48"/>
      <c r="E30" s="19"/>
      <c r="F30" s="19"/>
      <c r="G30" s="19"/>
      <c r="H30" s="19"/>
      <c r="I30" s="19"/>
      <c r="J30" s="19"/>
      <c r="K30" s="20"/>
      <c r="O30"/>
      <c r="P30"/>
      <c r="Q30"/>
      <c r="R30"/>
      <c r="S30"/>
    </row>
    <row r="31" spans="2:19" s="28" customFormat="1" ht="19.899999999999999" customHeight="1">
      <c r="B31" s="40" t="s">
        <v>120</v>
      </c>
      <c r="C31" s="41"/>
      <c r="D31" s="42"/>
      <c r="E31" s="76">
        <f>_Spez_Ertrag_Standort</f>
        <v>900</v>
      </c>
      <c r="F31" s="75" t="s">
        <v>123</v>
      </c>
      <c r="G31" s="41" t="str">
        <f>"Spez. Ertrag am Standort"</f>
        <v>Spez. Ertrag am Standort</v>
      </c>
      <c r="H31" s="41"/>
      <c r="I31" s="41"/>
      <c r="J31" s="41"/>
      <c r="K31" s="39"/>
    </row>
    <row r="32" spans="2:19" s="28" customFormat="1" ht="19.899999999999999" customHeight="1">
      <c r="B32" s="33" t="s">
        <v>119</v>
      </c>
      <c r="C32" s="35"/>
      <c r="D32" s="34"/>
      <c r="E32" s="77" cm="1">
        <f t="array" ref="E32">INDEX(_Faktor_Ausrichtung,ROUND(((E19/_RasterNeigung))+1,0),ROUND((((E18)/_RasterAzimut))+180/_RasterAzimut+1,0),1)</f>
        <v>1</v>
      </c>
      <c r="F32" s="29"/>
      <c r="G32" s="35" t="s">
        <v>115</v>
      </c>
      <c r="H32" s="35"/>
      <c r="I32" s="35"/>
      <c r="J32" s="35"/>
      <c r="K32" s="30"/>
    </row>
    <row r="33" spans="2:19" s="44" customFormat="1" ht="19.899999999999999" hidden="1" customHeight="1">
      <c r="B33" s="43" t="s">
        <v>121</v>
      </c>
      <c r="C33" s="34"/>
      <c r="D33" s="34"/>
      <c r="E33" s="47">
        <f>E31*E32</f>
        <v>900</v>
      </c>
      <c r="F33" s="45" t="s">
        <v>123</v>
      </c>
      <c r="G33" s="34" t="s">
        <v>116</v>
      </c>
      <c r="H33" s="34"/>
      <c r="I33" s="34"/>
      <c r="J33" s="34"/>
      <c r="K33" s="46"/>
    </row>
    <row r="34" spans="2:19" s="28" customFormat="1" ht="19.899999999999999" customHeight="1">
      <c r="B34" s="33" t="s">
        <v>148</v>
      </c>
      <c r="C34" s="35"/>
      <c r="D34" s="34" t="s">
        <v>151</v>
      </c>
      <c r="E34" s="314"/>
      <c r="F34" s="29" t="s">
        <v>123</v>
      </c>
      <c r="G34" s="35" t="s">
        <v>117</v>
      </c>
      <c r="H34" s="35"/>
      <c r="I34" s="35"/>
      <c r="J34" s="35"/>
      <c r="K34" s="30"/>
    </row>
    <row r="35" spans="2:19" s="28" customFormat="1" ht="19.899999999999999" customHeight="1" thickBot="1">
      <c r="B35" s="36" t="s">
        <v>122</v>
      </c>
      <c r="C35" s="37"/>
      <c r="D35" s="71" t="s">
        <v>77</v>
      </c>
      <c r="E35" s="78">
        <f>IF(ISNUMBER(E34),E34,E33)</f>
        <v>900</v>
      </c>
      <c r="F35" s="31" t="s">
        <v>123</v>
      </c>
      <c r="G35" s="37" t="s">
        <v>118</v>
      </c>
      <c r="H35" s="37"/>
      <c r="I35" s="37"/>
      <c r="J35" s="37"/>
      <c r="K35" s="32"/>
    </row>
    <row r="36" spans="2:19" ht="15.75" thickBot="1"/>
    <row r="37" spans="2:19" s="21" customFormat="1" ht="21.75" thickBot="1">
      <c r="B37" s="18" t="s">
        <v>350</v>
      </c>
      <c r="C37" s="19"/>
      <c r="D37" s="48"/>
      <c r="E37" s="19"/>
      <c r="F37" s="19"/>
      <c r="G37" s="19"/>
      <c r="H37" s="19"/>
      <c r="I37" s="19"/>
      <c r="J37" s="19"/>
      <c r="K37" s="20"/>
      <c r="O37"/>
      <c r="P37"/>
      <c r="Q37"/>
      <c r="R37"/>
      <c r="S37"/>
    </row>
    <row r="38" spans="2:19" s="28" customFormat="1" ht="19.899999999999999" customHeight="1">
      <c r="B38" s="40" t="s">
        <v>351</v>
      </c>
      <c r="C38" s="41"/>
      <c r="D38" s="42" t="s">
        <v>365</v>
      </c>
      <c r="E38" s="76">
        <f>IF(AND(E19&gt;=_Neigungswinkel_für_NB_Bund,E19&lt;=90),E27*E26/1000*_Neigungswinkelbonus_Bund,0)</f>
        <v>0</v>
      </c>
      <c r="F38" s="483" t="s">
        <v>353</v>
      </c>
      <c r="G38" s="41"/>
      <c r="H38" s="76">
        <f>IF(AND(E19&gt;=_Neigungswinkel_für_NB_Bund,E19&lt;=90),E28*E26/1000*_Neigungswinkelbonus_Bund,0)</f>
        <v>0</v>
      </c>
      <c r="I38" s="41" t="s">
        <v>354</v>
      </c>
      <c r="J38" s="41"/>
      <c r="K38" s="39"/>
    </row>
    <row r="39" spans="2:19" s="28" customFormat="1" ht="19.899999999999999" customHeight="1">
      <c r="B39" s="33" t="s">
        <v>359</v>
      </c>
      <c r="C39" s="35"/>
      <c r="D39" s="34" t="s">
        <v>364</v>
      </c>
      <c r="E39" s="482">
        <f>IFERROR(IF(AND(E16=M16,E27*E26/1000&gt;=_Schwelle_PPBonus),E27*E26/1000*_Parkplatzbonus_pronovo,0),0)</f>
        <v>0</v>
      </c>
      <c r="F39" s="29" t="s">
        <v>353</v>
      </c>
      <c r="G39" s="35"/>
      <c r="H39" s="482">
        <f>IFERROR(IF(AND(E16=M16,E28*E26/1000&gt;=_Schwelle_PPBonus),E28*E26/1000*_Parkplatzbonus_pronovo,0),0)</f>
        <v>0</v>
      </c>
      <c r="I39" s="35" t="s">
        <v>354</v>
      </c>
      <c r="J39" s="35"/>
      <c r="K39" s="30"/>
    </row>
    <row r="40" spans="2:19" s="28" customFormat="1" ht="19.899999999999999" customHeight="1">
      <c r="B40" s="33" t="s">
        <v>352</v>
      </c>
      <c r="C40" s="35"/>
      <c r="D40" s="34" t="s">
        <v>362</v>
      </c>
      <c r="E40" s="482">
        <f>IFERROR(IF(AND(E19&gt;=_Neigungswinkel_für_NB_Bund,E19&lt;=90),E27*_Modullänge_Standard*_Modulbreite_Standard*_ZuschlagSteil_Stadt,0),0)</f>
        <v>0</v>
      </c>
      <c r="F40" s="29" t="s">
        <v>353</v>
      </c>
      <c r="G40" s="35"/>
      <c r="H40" s="482">
        <f>IFERROR(IF(AND(E19&gt;=_Neigungswinkel_für_NB_Bund,E19&lt;=90),E28*_Modullänge_Standard*_Modulbreite_Standard*_ZuschlagSteil_Stadt,0),0)</f>
        <v>0</v>
      </c>
      <c r="I40" s="35" t="s">
        <v>354</v>
      </c>
      <c r="J40" s="35"/>
      <c r="K40" s="30"/>
    </row>
    <row r="41" spans="2:19" s="28" customFormat="1" ht="19.899999999999999" customHeight="1" thickBot="1">
      <c r="B41" s="36" t="s">
        <v>337</v>
      </c>
      <c r="C41" s="37"/>
      <c r="D41" s="71" t="s">
        <v>363</v>
      </c>
      <c r="E41" s="78">
        <f>IF(AND((ABS($E18)+_AbweichungNord)&gt;=180,E19&lt;_Neigungswinkel_für_NB_Bund),E27*E26/1000*_ZuschlagNord_Stadt,0)</f>
        <v>0</v>
      </c>
      <c r="F41" s="31" t="s">
        <v>353</v>
      </c>
      <c r="G41" s="37"/>
      <c r="H41" s="78">
        <f>IF(AND((ABS($E18)+_AbweichungNord)&gt;=180,E19&lt;_Neigungswinkel_für_NB_Bund),E28*E26/1000*_ZuschlagNord_Stadt,0)</f>
        <v>0</v>
      </c>
      <c r="I41" s="37" t="s">
        <v>354</v>
      </c>
      <c r="J41" s="37"/>
      <c r="K41" s="32"/>
    </row>
    <row r="42" spans="2:19" ht="15.75" thickBot="1"/>
    <row r="43" spans="2:19" s="21" customFormat="1" ht="21.75" thickBot="1">
      <c r="B43" s="18" t="s">
        <v>189</v>
      </c>
      <c r="C43" s="19"/>
      <c r="D43" s="48"/>
      <c r="E43" s="19"/>
      <c r="F43" s="19"/>
      <c r="G43" s="19"/>
      <c r="H43" s="19"/>
      <c r="I43" s="19"/>
      <c r="J43" s="19"/>
      <c r="K43" s="20"/>
      <c r="O43"/>
      <c r="P43"/>
      <c r="Q43"/>
      <c r="R43"/>
      <c r="S43"/>
    </row>
    <row r="44" spans="2:19" s="23" customFormat="1" hidden="1">
      <c r="B44" s="79"/>
      <c r="D44" s="23" t="s">
        <v>84</v>
      </c>
      <c r="F44" s="23">
        <v>-90</v>
      </c>
      <c r="G44" s="23">
        <v>-180</v>
      </c>
      <c r="H44" s="23">
        <v>90</v>
      </c>
      <c r="K44" s="80"/>
    </row>
    <row r="45" spans="2:19" s="23" customFormat="1" hidden="1">
      <c r="B45" s="79"/>
      <c r="D45" s="23" t="s">
        <v>69</v>
      </c>
      <c r="F45" s="81">
        <f>RADIANS(F44)</f>
        <v>-1.5707963267948966</v>
      </c>
      <c r="G45" s="81">
        <f t="shared" ref="G45:H45" si="0">RADIANS(G44)</f>
        <v>-3.1415926535897931</v>
      </c>
      <c r="H45" s="81">
        <f t="shared" si="0"/>
        <v>1.5707963267948966</v>
      </c>
      <c r="K45" s="80"/>
    </row>
    <row r="46" spans="2:19" s="23" customFormat="1" hidden="1">
      <c r="B46" s="79"/>
      <c r="D46" s="23" t="s">
        <v>70</v>
      </c>
      <c r="F46" s="23">
        <v>1</v>
      </c>
      <c r="G46" s="23">
        <v>3</v>
      </c>
      <c r="H46" s="23">
        <v>1</v>
      </c>
      <c r="K46" s="80"/>
    </row>
    <row r="47" spans="2:19" s="23" customFormat="1" hidden="1">
      <c r="B47" s="79"/>
      <c r="D47" s="23" t="s">
        <v>85</v>
      </c>
      <c r="F47" s="82">
        <f>$F$46*SIN(ATAN(1/$F$46))/SIN(ASIN(SIN($E$21)*COS($F$45-PI()+$E$20))+ATAN(1/$F$46))</f>
        <v>1</v>
      </c>
      <c r="G47" s="82">
        <f>$G$46*SIN(ATAN(1/$G$46))/SIN(ASIN(SIN(-$E$21)*COS($G$45-PI()+$E$20))+ATAN(1/$G$46))</f>
        <v>3</v>
      </c>
      <c r="H47" s="82">
        <f>$H$46*SIN(ATAN(1/$H$46))/SIN(ASIN(SIN($E$21)*COS($H$45-PI()+$E$20))+ATAN(1/$H$46))</f>
        <v>1</v>
      </c>
      <c r="K47" s="80"/>
    </row>
    <row r="48" spans="2:19" s="23" customFormat="1" hidden="1">
      <c r="B48" s="79"/>
      <c r="D48" s="23" t="s">
        <v>72</v>
      </c>
      <c r="F48" s="81">
        <f>ASIN(SIN($E$21)*COS(F45-$E$20))</f>
        <v>0</v>
      </c>
      <c r="G48" s="81">
        <f>ASIN(SIN($E$21)*COS(G45-$E$20))</f>
        <v>0</v>
      </c>
      <c r="H48" s="81">
        <f>ASIN(SIN($E$21)*COS(H45-$E$20))</f>
        <v>0</v>
      </c>
      <c r="K48" s="80"/>
    </row>
    <row r="49" spans="2:11" s="23" customFormat="1" hidden="1">
      <c r="B49" s="79"/>
      <c r="D49" s="23" t="s">
        <v>73</v>
      </c>
      <c r="F49" s="83">
        <f>F48*180/PI()</f>
        <v>0</v>
      </c>
      <c r="G49" s="83">
        <f t="shared" ref="G49:H49" si="1">G48*180/PI()</f>
        <v>0</v>
      </c>
      <c r="H49" s="83">
        <f t="shared" si="1"/>
        <v>0</v>
      </c>
      <c r="K49" s="80"/>
    </row>
    <row r="50" spans="2:11" s="262" customFormat="1" ht="60" customHeight="1">
      <c r="B50" s="684" t="str">
        <f>"Zum Dachrand, sowie um Dachaufbauten wie Fenster, Lukarnen, Kamine, Lüftungsrohre etc. dürfen Abstände von "&amp;_Modul_Randabstand&amp;" m berücksichtigt werden. Die Verschattungsabstände durch hohe Objekte können zudem gemäss Kallkulation nach untenstehender Tabelle berücksichtigt werden. (Abstände auf der Dachfläche in die entsprechende Himmelsrichtung)"</f>
        <v>Zum Dachrand, sowie um Dachaufbauten wie Fenster, Lukarnen, Kamine, Lüftungsrohre etc. dürfen Abstände von 0.2 m berücksichtigt werden. Die Verschattungsabstände durch hohe Objekte können zudem gemäss Kallkulation nach untenstehender Tabelle berücksichtigt werden. (Abstände auf der Dachfläche in die entsprechende Himmelsrichtung)</v>
      </c>
      <c r="C50" s="685"/>
      <c r="D50" s="685"/>
      <c r="E50" s="685"/>
      <c r="F50" s="685"/>
      <c r="G50" s="685"/>
      <c r="H50" s="685"/>
      <c r="I50" s="685"/>
      <c r="J50" s="685"/>
      <c r="K50" s="686"/>
    </row>
    <row r="51" spans="2:11" s="28" customFormat="1" ht="19.899999999999999" customHeight="1">
      <c r="B51" s="49"/>
      <c r="C51" s="50"/>
      <c r="D51" s="51"/>
      <c r="E51" s="84"/>
      <c r="F51" s="683" t="s">
        <v>87</v>
      </c>
      <c r="G51" s="683"/>
      <c r="H51" s="683"/>
      <c r="K51" s="86"/>
    </row>
    <row r="52" spans="2:11" s="28" customFormat="1" ht="19.899999999999999" customHeight="1">
      <c r="B52" s="49" t="s">
        <v>91</v>
      </c>
      <c r="C52" s="50" t="s">
        <v>20</v>
      </c>
      <c r="D52" s="51"/>
      <c r="E52" s="87" t="s">
        <v>114</v>
      </c>
      <c r="F52" s="85" t="s">
        <v>88</v>
      </c>
      <c r="G52" s="85" t="s">
        <v>89</v>
      </c>
      <c r="H52" s="85" t="s">
        <v>90</v>
      </c>
      <c r="K52" s="86"/>
    </row>
    <row r="53" spans="2:11" s="28" customFormat="1" ht="19.899999999999999" customHeight="1">
      <c r="B53" s="88" t="s">
        <v>92</v>
      </c>
      <c r="C53" s="89"/>
      <c r="D53" s="90"/>
      <c r="E53" s="91" t="s">
        <v>86</v>
      </c>
      <c r="F53" s="91" t="s">
        <v>86</v>
      </c>
      <c r="G53" s="91" t="s">
        <v>86</v>
      </c>
      <c r="H53" s="91" t="s">
        <v>86</v>
      </c>
      <c r="I53" s="92"/>
      <c r="J53" s="92"/>
      <c r="K53" s="93"/>
    </row>
    <row r="54" spans="2:11" s="28" customFormat="1" ht="19.899999999999999" customHeight="1">
      <c r="B54" s="94">
        <v>1</v>
      </c>
      <c r="C54" s="315"/>
      <c r="D54" s="315"/>
      <c r="E54" s="316"/>
      <c r="F54" s="95" t="str">
        <f t="shared" ref="F54:F65" si="2">IF(ISNUMBER($E54),$E54*IF($F$47&gt;0,MIN($F$46:$F$47),MAX($F$46:$F$47)),"")</f>
        <v/>
      </c>
      <c r="G54" s="95" t="str">
        <f t="shared" ref="G54:G65" si="3">IF(ISNUMBER($E54),$E54*IF($G$47&gt;0,MIN($G$46:$G$47),MAX($G$46:$G$47)),"")</f>
        <v/>
      </c>
      <c r="H54" s="95" t="str">
        <f t="shared" ref="H54:H65" si="4">IF(ISNUMBER($E54),$E54*IF($H$47&gt;0,MIN($H$46:$H$47),MAX($H$46:$H$47)),"")</f>
        <v/>
      </c>
      <c r="I54" s="73"/>
      <c r="J54" s="73"/>
      <c r="K54" s="74"/>
    </row>
    <row r="55" spans="2:11" s="28" customFormat="1" ht="19.899999999999999" customHeight="1">
      <c r="B55" s="96">
        <v>2</v>
      </c>
      <c r="C55" s="317"/>
      <c r="D55" s="317"/>
      <c r="E55" s="318"/>
      <c r="F55" s="97" t="str">
        <f t="shared" si="2"/>
        <v/>
      </c>
      <c r="G55" s="97" t="str">
        <f t="shared" si="3"/>
        <v/>
      </c>
      <c r="H55" s="97" t="str">
        <f t="shared" si="4"/>
        <v/>
      </c>
      <c r="I55" s="35"/>
      <c r="J55" s="35"/>
      <c r="K55" s="30"/>
    </row>
    <row r="56" spans="2:11" s="28" customFormat="1" ht="19.899999999999999" customHeight="1">
      <c r="B56" s="96">
        <v>3</v>
      </c>
      <c r="C56" s="317"/>
      <c r="D56" s="317"/>
      <c r="E56" s="318"/>
      <c r="F56" s="97" t="str">
        <f t="shared" si="2"/>
        <v/>
      </c>
      <c r="G56" s="97" t="str">
        <f t="shared" si="3"/>
        <v/>
      </c>
      <c r="H56" s="97" t="str">
        <f t="shared" si="4"/>
        <v/>
      </c>
      <c r="I56" s="35"/>
      <c r="J56" s="35"/>
      <c r="K56" s="30"/>
    </row>
    <row r="57" spans="2:11" s="28" customFormat="1" ht="19.899999999999999" customHeight="1">
      <c r="B57" s="96">
        <v>4</v>
      </c>
      <c r="C57" s="317"/>
      <c r="D57" s="317"/>
      <c r="E57" s="318"/>
      <c r="F57" s="97" t="str">
        <f t="shared" si="2"/>
        <v/>
      </c>
      <c r="G57" s="97" t="str">
        <f t="shared" si="3"/>
        <v/>
      </c>
      <c r="H57" s="97" t="str">
        <f t="shared" si="4"/>
        <v/>
      </c>
      <c r="I57" s="35"/>
      <c r="J57" s="35"/>
      <c r="K57" s="30"/>
    </row>
    <row r="58" spans="2:11" s="28" customFormat="1" ht="19.899999999999999" customHeight="1">
      <c r="B58" s="96">
        <v>5</v>
      </c>
      <c r="C58" s="317"/>
      <c r="D58" s="317"/>
      <c r="E58" s="318"/>
      <c r="F58" s="97" t="str">
        <f t="shared" si="2"/>
        <v/>
      </c>
      <c r="G58" s="97" t="str">
        <f t="shared" si="3"/>
        <v/>
      </c>
      <c r="H58" s="97" t="str">
        <f t="shared" si="4"/>
        <v/>
      </c>
      <c r="I58" s="35"/>
      <c r="J58" s="35"/>
      <c r="K58" s="30"/>
    </row>
    <row r="59" spans="2:11" s="28" customFormat="1" ht="19.899999999999999" customHeight="1">
      <c r="B59" s="96">
        <v>6</v>
      </c>
      <c r="C59" s="317"/>
      <c r="D59" s="317"/>
      <c r="E59" s="318"/>
      <c r="F59" s="97" t="str">
        <f t="shared" si="2"/>
        <v/>
      </c>
      <c r="G59" s="97" t="str">
        <f t="shared" si="3"/>
        <v/>
      </c>
      <c r="H59" s="97" t="str">
        <f t="shared" si="4"/>
        <v/>
      </c>
      <c r="I59" s="35"/>
      <c r="J59" s="35"/>
      <c r="K59" s="30"/>
    </row>
    <row r="60" spans="2:11" s="28" customFormat="1" ht="19.899999999999999" customHeight="1">
      <c r="B60" s="96">
        <v>7</v>
      </c>
      <c r="C60" s="317"/>
      <c r="D60" s="317"/>
      <c r="E60" s="318"/>
      <c r="F60" s="97" t="str">
        <f t="shared" si="2"/>
        <v/>
      </c>
      <c r="G60" s="97" t="str">
        <f t="shared" si="3"/>
        <v/>
      </c>
      <c r="H60" s="97" t="str">
        <f t="shared" si="4"/>
        <v/>
      </c>
      <c r="I60" s="35"/>
      <c r="J60" s="35"/>
      <c r="K60" s="30"/>
    </row>
    <row r="61" spans="2:11" s="28" customFormat="1" ht="19.899999999999999" customHeight="1">
      <c r="B61" s="96">
        <v>8</v>
      </c>
      <c r="C61" s="317"/>
      <c r="D61" s="317"/>
      <c r="E61" s="318"/>
      <c r="F61" s="97" t="str">
        <f t="shared" si="2"/>
        <v/>
      </c>
      <c r="G61" s="97" t="str">
        <f t="shared" si="3"/>
        <v/>
      </c>
      <c r="H61" s="97" t="str">
        <f t="shared" si="4"/>
        <v/>
      </c>
      <c r="I61" s="35"/>
      <c r="J61" s="35"/>
      <c r="K61" s="30"/>
    </row>
    <row r="62" spans="2:11" s="28" customFormat="1" ht="19.899999999999999" customHeight="1">
      <c r="B62" s="96">
        <v>9</v>
      </c>
      <c r="C62" s="317"/>
      <c r="D62" s="317"/>
      <c r="E62" s="318"/>
      <c r="F62" s="97" t="str">
        <f t="shared" si="2"/>
        <v/>
      </c>
      <c r="G62" s="97" t="str">
        <f t="shared" si="3"/>
        <v/>
      </c>
      <c r="H62" s="97" t="str">
        <f t="shared" si="4"/>
        <v/>
      </c>
      <c r="I62" s="35"/>
      <c r="J62" s="35"/>
      <c r="K62" s="30"/>
    </row>
    <row r="63" spans="2:11" s="28" customFormat="1" ht="19.899999999999999" customHeight="1">
      <c r="B63" s="96">
        <v>10</v>
      </c>
      <c r="C63" s="317"/>
      <c r="D63" s="317"/>
      <c r="E63" s="318"/>
      <c r="F63" s="29" t="str">
        <f t="shared" si="2"/>
        <v/>
      </c>
      <c r="G63" s="29" t="str">
        <f t="shared" si="3"/>
        <v/>
      </c>
      <c r="H63" s="29" t="str">
        <f t="shared" si="4"/>
        <v/>
      </c>
      <c r="I63" s="35"/>
      <c r="J63" s="35"/>
      <c r="K63" s="30"/>
    </row>
    <row r="64" spans="2:11" s="28" customFormat="1" ht="19.899999999999999" customHeight="1">
      <c r="B64" s="96">
        <v>11</v>
      </c>
      <c r="C64" s="317"/>
      <c r="D64" s="317"/>
      <c r="E64" s="318"/>
      <c r="F64" s="29" t="str">
        <f t="shared" si="2"/>
        <v/>
      </c>
      <c r="G64" s="29" t="str">
        <f t="shared" si="3"/>
        <v/>
      </c>
      <c r="H64" s="29" t="str">
        <f t="shared" si="4"/>
        <v/>
      </c>
      <c r="I64" s="35"/>
      <c r="J64" s="35"/>
      <c r="K64" s="30"/>
    </row>
    <row r="65" spans="2:11" s="28" customFormat="1" ht="19.899999999999999" customHeight="1" thickBot="1">
      <c r="B65" s="98">
        <v>12</v>
      </c>
      <c r="C65" s="319"/>
      <c r="D65" s="319"/>
      <c r="E65" s="320"/>
      <c r="F65" s="31" t="str">
        <f t="shared" si="2"/>
        <v/>
      </c>
      <c r="G65" s="31" t="str">
        <f t="shared" si="3"/>
        <v/>
      </c>
      <c r="H65" s="31" t="str">
        <f t="shared" si="4"/>
        <v/>
      </c>
      <c r="I65" s="37"/>
      <c r="J65" s="37"/>
      <c r="K65" s="32"/>
    </row>
    <row r="66" spans="2:11"/>
    <row r="67" spans="2:11"/>
  </sheetData>
  <sheetProtection algorithmName="SHA-512" hashValue="tenX5PDFAfcYisjGp+n886fOnd/FVXeBNS9isw+pqsyd0GVYOzdHs8kdouitS0Xli1MfqEyUY+hgsHLsfus57g==" saltValue="JmtO7YY+G4NMqiThmBBWMQ==" spinCount="100000" sheet="1" objects="1" scenarios="1" selectLockedCells="1" autoFilter="0"/>
  <mergeCells count="17">
    <mergeCell ref="B16:C16"/>
    <mergeCell ref="F51:H51"/>
    <mergeCell ref="B50:K50"/>
    <mergeCell ref="E24:F24"/>
    <mergeCell ref="E12:F12"/>
    <mergeCell ref="E2:J4"/>
    <mergeCell ref="E11:F11"/>
    <mergeCell ref="E9:F9"/>
    <mergeCell ref="E10:F10"/>
    <mergeCell ref="H11:J11"/>
    <mergeCell ref="B9:C9"/>
    <mergeCell ref="B10:C10"/>
    <mergeCell ref="H9:J9"/>
    <mergeCell ref="H10:J10"/>
    <mergeCell ref="E15:F15"/>
    <mergeCell ref="B11:C11"/>
    <mergeCell ref="B12:C12"/>
  </mergeCells>
  <dataValidations count="2">
    <dataValidation type="list" allowBlank="1" showInputMessage="1" showErrorMessage="1" sqref="E24" xr:uid="{00000000-0002-0000-0300-000000000000}">
      <formula1>$G$24:$H$24</formula1>
    </dataValidation>
    <dataValidation type="list" allowBlank="1" showInputMessage="1" showErrorMessage="1" sqref="E16" xr:uid="{D4DF8BBE-F969-4210-A95F-91E8A94D763C}">
      <formula1>$M$16:$M$17</formula1>
    </dataValidation>
  </dataValidations>
  <pageMargins left="0.7" right="0.7" top="0.78740157499999996" bottom="0.78740157499999996" header="0.3" footer="0.3"/>
  <pageSetup paperSize="9" scale="64" orientation="portrait" r:id="rId1"/>
  <colBreaks count="1" manualBreakCount="1">
    <brk id="12"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S68"/>
  <sheetViews>
    <sheetView topLeftCell="A13" workbookViewId="0">
      <selection activeCell="C54" sqref="C54"/>
    </sheetView>
  </sheetViews>
  <sheetFormatPr baseColWidth="10" defaultColWidth="0" defaultRowHeight="14.45" customHeight="1" zeroHeight="1"/>
  <cols>
    <col min="1" max="1" width="4.7109375" customWidth="1"/>
    <col min="2" max="2" width="8.28515625" customWidth="1"/>
    <col min="3" max="3" width="24.85546875" customWidth="1"/>
    <col min="4" max="4" width="7.85546875" style="23" hidden="1" customWidth="1"/>
    <col min="5" max="5" width="12.28515625" customWidth="1"/>
    <col min="6" max="8" width="14.42578125" customWidth="1"/>
    <col min="9" max="10" width="11.42578125" customWidth="1"/>
    <col min="11" max="11" width="12.7109375" bestFit="1" customWidth="1"/>
    <col min="12" max="12" width="5.28515625" customWidth="1"/>
    <col min="13" max="16384" width="11.42578125" hidden="1"/>
  </cols>
  <sheetData>
    <row r="1" spans="1:19" ht="15.75" thickBot="1">
      <c r="A1" s="27" t="str">
        <f ca="1">MID(CELL("dateiname",A1),SEARCH("]",CELL("dateiname",A1))+1,31)</f>
        <v>TF (2)</v>
      </c>
    </row>
    <row r="2" spans="1:19" ht="15" customHeight="1">
      <c r="B2" s="389"/>
      <c r="C2" s="390"/>
      <c r="D2" s="390"/>
      <c r="E2" s="666" t="str">
        <f>_Dok_Titel</f>
        <v>Planungshilfe
Solar- und Photovoltaikanlagen auf Schrägdächern (Art. 77 Abs. 3 und 4 BZR)
Formular-Release 2.5</v>
      </c>
      <c r="F2" s="666"/>
      <c r="G2" s="666"/>
      <c r="H2" s="666"/>
      <c r="I2" s="666"/>
      <c r="J2" s="666"/>
      <c r="K2" s="391"/>
    </row>
    <row r="3" spans="1:19" ht="15" customHeight="1">
      <c r="B3" s="392"/>
      <c r="C3" s="393"/>
      <c r="D3" s="393"/>
      <c r="E3" s="667"/>
      <c r="F3" s="667"/>
      <c r="G3" s="667"/>
      <c r="H3" s="667"/>
      <c r="I3" s="667"/>
      <c r="J3" s="667"/>
      <c r="K3" s="394"/>
    </row>
    <row r="4" spans="1:19" ht="34.15" customHeight="1" thickBot="1">
      <c r="B4" s="395"/>
      <c r="C4" s="396"/>
      <c r="D4" s="396"/>
      <c r="E4" s="668"/>
      <c r="F4" s="668"/>
      <c r="G4" s="668"/>
      <c r="H4" s="668"/>
      <c r="I4" s="668"/>
      <c r="J4" s="668"/>
      <c r="K4" s="397"/>
    </row>
    <row r="5" spans="1:19" ht="15.75" thickBot="1"/>
    <row r="6" spans="1:19" s="21" customFormat="1" ht="21.75" thickBot="1">
      <c r="B6" s="18" t="str">
        <f ca="1">"Zusammenstellung Kennwerte Teilfläche "&amp;MID(CELL("dateiname",A1),SEARCH("]",CELL("dateiname",A1))+1,31)</f>
        <v>Zusammenstellung Kennwerte Teilfläche TF (2)</v>
      </c>
      <c r="C6" s="19"/>
      <c r="D6" s="48"/>
      <c r="E6" s="19"/>
      <c r="F6" s="19"/>
      <c r="G6" s="19"/>
      <c r="H6" s="19"/>
      <c r="I6" s="19"/>
      <c r="J6" s="19"/>
      <c r="K6" s="20"/>
      <c r="O6"/>
      <c r="P6"/>
      <c r="Q6"/>
      <c r="R6"/>
      <c r="S6"/>
    </row>
    <row r="7" spans="1:19" ht="15.75" thickBot="1"/>
    <row r="8" spans="1:19" s="21" customFormat="1" ht="21.75" thickBot="1">
      <c r="B8" s="18" t="s">
        <v>26</v>
      </c>
      <c r="C8" s="19"/>
      <c r="D8" s="48"/>
      <c r="E8" s="19"/>
      <c r="F8" s="19"/>
      <c r="G8" s="19"/>
      <c r="H8" s="19"/>
      <c r="I8" s="19"/>
      <c r="J8" s="19"/>
      <c r="K8" s="20"/>
      <c r="O8"/>
      <c r="P8"/>
      <c r="Q8"/>
      <c r="R8"/>
      <c r="S8"/>
    </row>
    <row r="9" spans="1:19" s="28" customFormat="1" ht="19.899999999999999" customHeight="1">
      <c r="B9" s="551" t="str">
        <f>Bericht!B7</f>
        <v>Projektname</v>
      </c>
      <c r="C9" s="552"/>
      <c r="D9" s="415"/>
      <c r="E9" s="669">
        <f>_Projektname</f>
        <v>0</v>
      </c>
      <c r="F9" s="669"/>
      <c r="G9" s="426"/>
      <c r="H9" s="649" t="str">
        <f>Bericht!J7</f>
        <v>Netzversorger:</v>
      </c>
      <c r="I9" s="649"/>
      <c r="J9" s="649"/>
      <c r="K9" s="138" t="str">
        <f>_Netzversorger</f>
        <v>ckw</v>
      </c>
    </row>
    <row r="10" spans="1:19" s="28" customFormat="1" ht="19.899999999999999" customHeight="1">
      <c r="B10" s="553" t="str">
        <f>Bericht!B8</f>
        <v>Adresse</v>
      </c>
      <c r="C10" s="554"/>
      <c r="D10" s="416"/>
      <c r="E10" s="670">
        <f>_Adresse</f>
        <v>0</v>
      </c>
      <c r="F10" s="670"/>
      <c r="G10" s="427"/>
      <c r="H10" s="650" t="str">
        <f>Bericht!J8</f>
        <v>Geplantes Datum Fertigstellung:</v>
      </c>
      <c r="I10" s="650"/>
      <c r="J10" s="650"/>
      <c r="K10" s="139">
        <f>_Datum_IBS</f>
        <v>0</v>
      </c>
      <c r="L10" s="410"/>
    </row>
    <row r="11" spans="1:19" s="28" customFormat="1" ht="19.899999999999999" customHeight="1">
      <c r="B11" s="553" t="str">
        <f>Bericht!B9</f>
        <v>PLZ Ort</v>
      </c>
      <c r="C11" s="554"/>
      <c r="D11" s="416"/>
      <c r="E11" s="670">
        <f>_PLZ</f>
        <v>0</v>
      </c>
      <c r="F11" s="670"/>
      <c r="G11" s="427"/>
      <c r="H11" s="650" t="s">
        <v>277</v>
      </c>
      <c r="I11" s="650"/>
      <c r="J11" s="650"/>
      <c r="K11" s="409">
        <f>_Letzte_REV</f>
        <v>46042</v>
      </c>
      <c r="L11" s="411"/>
    </row>
    <row r="12" spans="1:19" s="28" customFormat="1" ht="19.899999999999999" customHeight="1" thickBot="1">
      <c r="B12" s="680" t="s">
        <v>138</v>
      </c>
      <c r="C12" s="681"/>
      <c r="D12" s="31"/>
      <c r="E12" s="556">
        <f>Bericht!D10</f>
        <v>0</v>
      </c>
      <c r="F12" s="556"/>
      <c r="G12" s="428"/>
      <c r="H12" s="31" t="s">
        <v>278</v>
      </c>
      <c r="I12" s="31"/>
      <c r="J12" s="31"/>
      <c r="K12" s="358">
        <f>_Nächste_REV</f>
        <v>46357</v>
      </c>
      <c r="L12" s="411"/>
    </row>
    <row r="13" spans="1:19" ht="15.75" thickBot="1"/>
    <row r="14" spans="1:19" s="21" customFormat="1" ht="21.75" thickBot="1">
      <c r="B14" s="18" t="s">
        <v>75</v>
      </c>
      <c r="C14" s="19"/>
      <c r="D14" s="48"/>
      <c r="E14" s="19"/>
      <c r="F14" s="19"/>
      <c r="G14" s="19"/>
      <c r="H14" s="19"/>
      <c r="I14" s="19"/>
      <c r="J14" s="19"/>
      <c r="K14" s="20"/>
      <c r="O14"/>
      <c r="P14"/>
      <c r="Q14"/>
      <c r="R14"/>
      <c r="S14"/>
    </row>
    <row r="15" spans="1:19" s="28" customFormat="1" ht="19.899999999999999" customHeight="1">
      <c r="B15" s="40" t="s">
        <v>93</v>
      </c>
      <c r="C15" s="41"/>
      <c r="D15" s="42" t="s">
        <v>155</v>
      </c>
      <c r="E15" s="679"/>
      <c r="F15" s="679"/>
      <c r="G15" s="41"/>
      <c r="H15" s="41"/>
      <c r="I15" s="41"/>
      <c r="J15" s="41"/>
      <c r="K15" s="39"/>
    </row>
    <row r="16" spans="1:19" s="28" customFormat="1" ht="19.899999999999999" customHeight="1">
      <c r="B16" s="682" t="s">
        <v>355</v>
      </c>
      <c r="C16" s="616"/>
      <c r="D16" s="66" t="s">
        <v>366</v>
      </c>
      <c r="E16" s="489" t="s">
        <v>358</v>
      </c>
      <c r="F16" s="29"/>
      <c r="G16" s="73" t="s">
        <v>356</v>
      </c>
      <c r="H16" s="73"/>
      <c r="I16" s="73"/>
      <c r="J16" s="73"/>
      <c r="K16" s="74"/>
      <c r="M16" s="28" t="s">
        <v>357</v>
      </c>
    </row>
    <row r="17" spans="2:19" s="28" customFormat="1" ht="19.899999999999999" customHeight="1">
      <c r="B17" s="72" t="s">
        <v>96</v>
      </c>
      <c r="C17" s="73"/>
      <c r="D17" s="66" t="s">
        <v>129</v>
      </c>
      <c r="E17" s="270"/>
      <c r="F17" s="65" t="s">
        <v>127</v>
      </c>
      <c r="G17" s="73" t="s">
        <v>234</v>
      </c>
      <c r="H17" s="73"/>
      <c r="I17" s="73"/>
      <c r="J17" s="73"/>
      <c r="K17" s="74"/>
      <c r="M17" s="28" t="s">
        <v>358</v>
      </c>
    </row>
    <row r="18" spans="2:19" s="28" customFormat="1" ht="19.899999999999999" customHeight="1">
      <c r="B18" s="33" t="s">
        <v>94</v>
      </c>
      <c r="C18" s="35"/>
      <c r="D18" s="34" t="s">
        <v>37</v>
      </c>
      <c r="E18" s="271"/>
      <c r="F18" s="29" t="s">
        <v>54</v>
      </c>
      <c r="G18" s="35" t="s">
        <v>67</v>
      </c>
      <c r="H18" s="35"/>
      <c r="I18" s="35"/>
      <c r="J18" s="35"/>
      <c r="K18" s="30"/>
    </row>
    <row r="19" spans="2:19" s="28" customFormat="1" ht="19.899999999999999" customHeight="1" thickBot="1">
      <c r="B19" s="36" t="s">
        <v>95</v>
      </c>
      <c r="C19" s="37"/>
      <c r="D19" s="71" t="s">
        <v>38</v>
      </c>
      <c r="E19" s="272"/>
      <c r="F19" s="31" t="s">
        <v>54</v>
      </c>
      <c r="G19" s="37" t="s">
        <v>68</v>
      </c>
      <c r="H19" s="37"/>
      <c r="I19" s="37"/>
      <c r="J19" s="37"/>
      <c r="K19" s="32"/>
    </row>
    <row r="20" spans="2:19" s="23" customFormat="1" ht="15" hidden="1" customHeight="1">
      <c r="C20" s="23" t="s">
        <v>74</v>
      </c>
      <c r="E20" s="23">
        <f>RADIANS(E18)</f>
        <v>0</v>
      </c>
    </row>
    <row r="21" spans="2:19" s="23" customFormat="1" ht="15" hidden="1">
      <c r="C21" s="23" t="s">
        <v>71</v>
      </c>
      <c r="E21" s="23">
        <f>-RADIANS(E19)</f>
        <v>0</v>
      </c>
    </row>
    <row r="22" spans="2:19" ht="15.75" thickBot="1"/>
    <row r="23" spans="2:19" s="21" customFormat="1" ht="21.75" thickBot="1">
      <c r="B23" s="18" t="s">
        <v>50</v>
      </c>
      <c r="C23" s="19"/>
      <c r="D23" s="48"/>
      <c r="E23" s="19"/>
      <c r="F23" s="19"/>
      <c r="G23" s="19"/>
      <c r="H23" s="19"/>
      <c r="I23" s="19"/>
      <c r="J23" s="19"/>
      <c r="K23" s="20"/>
      <c r="O23"/>
      <c r="P23"/>
      <c r="Q23"/>
      <c r="R23"/>
      <c r="S23"/>
    </row>
    <row r="24" spans="2:19" s="28" customFormat="1" ht="19.899999999999999" customHeight="1">
      <c r="B24" s="40" t="s">
        <v>51</v>
      </c>
      <c r="C24" s="41"/>
      <c r="D24" s="42" t="s">
        <v>76</v>
      </c>
      <c r="E24" s="687" t="s">
        <v>105</v>
      </c>
      <c r="F24" s="687"/>
      <c r="G24" s="41" t="s">
        <v>104</v>
      </c>
      <c r="H24" s="41" t="s">
        <v>105</v>
      </c>
      <c r="I24" s="41"/>
      <c r="J24" s="41"/>
      <c r="K24" s="39"/>
    </row>
    <row r="25" spans="2:19" s="28" customFormat="1" ht="19.899999999999999" customHeight="1">
      <c r="B25" s="72" t="s">
        <v>229</v>
      </c>
      <c r="C25" s="73"/>
      <c r="D25" s="66" t="s">
        <v>235</v>
      </c>
      <c r="E25" s="485" t="str">
        <f>IF((ABS($E18)+_AbweichungNord)&gt;180,"Satiniert","Standard")</f>
        <v>Standard</v>
      </c>
      <c r="F25" s="485"/>
      <c r="G25" s="73"/>
      <c r="H25" s="73"/>
      <c r="I25" s="73"/>
      <c r="J25" s="73"/>
      <c r="K25" s="74"/>
    </row>
    <row r="26" spans="2:19" s="28" customFormat="1" ht="19.899999999999999" customHeight="1">
      <c r="B26" s="33" t="s">
        <v>49</v>
      </c>
      <c r="C26" s="35"/>
      <c r="D26" s="34" t="s">
        <v>40</v>
      </c>
      <c r="E26" s="29">
        <f>IF((ABS($E18)+_AbweichungNord)&gt;180,_Modulleistung_Satin,_Modulleistung_Standard)</f>
        <v>485</v>
      </c>
      <c r="F26" s="29" t="s">
        <v>58</v>
      </c>
      <c r="G26" s="35" t="str">
        <f ca="1">"Modulleistung definiert im Tab "&amp;Datengrundlage!A1&amp;""</f>
        <v>Modulleistung definiert im Tab Datengrundlage</v>
      </c>
      <c r="H26" s="35"/>
      <c r="I26" s="35"/>
      <c r="J26" s="35"/>
      <c r="K26" s="30"/>
    </row>
    <row r="27" spans="2:19" s="28" customFormat="1" ht="19.899999999999999" customHeight="1">
      <c r="B27" s="33" t="s">
        <v>196</v>
      </c>
      <c r="C27" s="35"/>
      <c r="D27" s="34" t="s">
        <v>97</v>
      </c>
      <c r="E27" s="273"/>
      <c r="F27" s="29" t="s">
        <v>99</v>
      </c>
      <c r="G27" s="35" t="s">
        <v>202</v>
      </c>
      <c r="H27" s="35"/>
      <c r="I27" s="35"/>
      <c r="J27" s="35"/>
      <c r="K27" s="30"/>
    </row>
    <row r="28" spans="2:19" s="28" customFormat="1" ht="19.899999999999999" customHeight="1" thickBot="1">
      <c r="B28" s="36" t="s">
        <v>195</v>
      </c>
      <c r="C28" s="37"/>
      <c r="D28" s="71" t="s">
        <v>154</v>
      </c>
      <c r="E28" s="313">
        <f>E27</f>
        <v>0</v>
      </c>
      <c r="F28" s="31" t="s">
        <v>99</v>
      </c>
      <c r="G28" s="37" t="s">
        <v>203</v>
      </c>
      <c r="H28" s="37"/>
      <c r="I28" s="37"/>
      <c r="J28" s="37"/>
      <c r="K28" s="32"/>
    </row>
    <row r="29" spans="2:19" ht="15.75" thickBot="1"/>
    <row r="30" spans="2:19" s="21" customFormat="1" ht="21.75" thickBot="1">
      <c r="B30" s="18" t="s">
        <v>281</v>
      </c>
      <c r="C30" s="19"/>
      <c r="D30" s="48"/>
      <c r="E30" s="19"/>
      <c r="F30" s="19"/>
      <c r="G30" s="19"/>
      <c r="H30" s="19"/>
      <c r="I30" s="19"/>
      <c r="J30" s="19"/>
      <c r="K30" s="20"/>
      <c r="O30"/>
      <c r="P30"/>
      <c r="Q30"/>
      <c r="R30"/>
      <c r="S30"/>
    </row>
    <row r="31" spans="2:19" s="28" customFormat="1" ht="19.899999999999999" customHeight="1">
      <c r="B31" s="40" t="s">
        <v>120</v>
      </c>
      <c r="C31" s="41"/>
      <c r="D31" s="42"/>
      <c r="E31" s="76">
        <f>_Spez_Ertrag_Standort</f>
        <v>900</v>
      </c>
      <c r="F31" s="75" t="s">
        <v>123</v>
      </c>
      <c r="G31" s="41" t="str">
        <f>"Spez. Ertrag am Standort"</f>
        <v>Spez. Ertrag am Standort</v>
      </c>
      <c r="H31" s="41"/>
      <c r="I31" s="41"/>
      <c r="J31" s="41"/>
      <c r="K31" s="39"/>
    </row>
    <row r="32" spans="2:19" s="28" customFormat="1" ht="19.899999999999999" customHeight="1">
      <c r="B32" s="33" t="s">
        <v>119</v>
      </c>
      <c r="C32" s="35"/>
      <c r="D32" s="34"/>
      <c r="E32" s="77" cm="1">
        <f t="array" ref="E32">INDEX(_Faktor_Ausrichtung,ROUND(((E19/_RasterNeigung))+1,0),ROUND((((E18)/_RasterAzimut))+180/_RasterAzimut+1,0),1)</f>
        <v>1</v>
      </c>
      <c r="F32" s="29"/>
      <c r="G32" s="35" t="s">
        <v>115</v>
      </c>
      <c r="H32" s="35"/>
      <c r="I32" s="35"/>
      <c r="J32" s="35"/>
      <c r="K32" s="30"/>
    </row>
    <row r="33" spans="2:19" s="44" customFormat="1" ht="19.899999999999999" hidden="1" customHeight="1">
      <c r="B33" s="43" t="s">
        <v>121</v>
      </c>
      <c r="C33" s="34"/>
      <c r="D33" s="34"/>
      <c r="E33" s="47">
        <f>E31*E32</f>
        <v>900</v>
      </c>
      <c r="F33" s="45" t="s">
        <v>123</v>
      </c>
      <c r="G33" s="34" t="s">
        <v>116</v>
      </c>
      <c r="H33" s="34"/>
      <c r="I33" s="34"/>
      <c r="J33" s="34"/>
      <c r="K33" s="46"/>
    </row>
    <row r="34" spans="2:19" s="28" customFormat="1" ht="19.899999999999999" customHeight="1">
      <c r="B34" s="33" t="s">
        <v>148</v>
      </c>
      <c r="C34" s="35"/>
      <c r="D34" s="34" t="s">
        <v>151</v>
      </c>
      <c r="E34" s="314"/>
      <c r="F34" s="29" t="s">
        <v>123</v>
      </c>
      <c r="G34" s="35" t="s">
        <v>117</v>
      </c>
      <c r="H34" s="35"/>
      <c r="I34" s="35"/>
      <c r="J34" s="35"/>
      <c r="K34" s="30"/>
    </row>
    <row r="35" spans="2:19" s="28" customFormat="1" ht="19.899999999999999" customHeight="1" thickBot="1">
      <c r="B35" s="36" t="s">
        <v>122</v>
      </c>
      <c r="C35" s="37"/>
      <c r="D35" s="71" t="s">
        <v>77</v>
      </c>
      <c r="E35" s="78">
        <f>IF(ISNUMBER(E34),E34,E33)</f>
        <v>900</v>
      </c>
      <c r="F35" s="31" t="s">
        <v>123</v>
      </c>
      <c r="G35" s="37" t="s">
        <v>118</v>
      </c>
      <c r="H35" s="37"/>
      <c r="I35" s="37"/>
      <c r="J35" s="37"/>
      <c r="K35" s="32"/>
    </row>
    <row r="36" spans="2:19" ht="15.75" thickBot="1"/>
    <row r="37" spans="2:19" s="21" customFormat="1" ht="21.75" thickBot="1">
      <c r="B37" s="18" t="s">
        <v>350</v>
      </c>
      <c r="C37" s="19"/>
      <c r="D37" s="48"/>
      <c r="E37" s="19"/>
      <c r="F37" s="19"/>
      <c r="G37" s="19"/>
      <c r="H37" s="19"/>
      <c r="I37" s="19"/>
      <c r="J37" s="19"/>
      <c r="K37" s="20"/>
      <c r="O37"/>
      <c r="P37"/>
      <c r="Q37"/>
      <c r="R37"/>
      <c r="S37"/>
    </row>
    <row r="38" spans="2:19" s="28" customFormat="1" ht="19.899999999999999" customHeight="1">
      <c r="B38" s="40" t="s">
        <v>351</v>
      </c>
      <c r="C38" s="41"/>
      <c r="D38" s="42" t="s">
        <v>365</v>
      </c>
      <c r="E38" s="76">
        <f>IF(AND(E19&gt;=_Neigungswinkel_für_NB_Bund,E19&lt;=90),E27*E26/1000*_Neigungswinkelbonus_Bund,0)</f>
        <v>0</v>
      </c>
      <c r="F38" s="483" t="s">
        <v>353</v>
      </c>
      <c r="G38" s="41"/>
      <c r="H38" s="76">
        <f>IF(AND(E19&gt;=_Neigungswinkel_für_NB_Bund,E19&lt;=90),E28*E26/1000*_Neigungswinkelbonus_Bund,0)</f>
        <v>0</v>
      </c>
      <c r="I38" s="41" t="s">
        <v>354</v>
      </c>
      <c r="J38" s="41"/>
      <c r="K38" s="39"/>
    </row>
    <row r="39" spans="2:19" s="28" customFormat="1" ht="19.899999999999999" customHeight="1">
      <c r="B39" s="33" t="s">
        <v>359</v>
      </c>
      <c r="C39" s="35"/>
      <c r="D39" s="34" t="s">
        <v>364</v>
      </c>
      <c r="E39" s="482">
        <f>IFERROR(IF(AND(E16=M16,E27*E26/1000&gt;=_Schwelle_PPBonus),E27*E26/1000*_Parkplatzbonus_pronovo,0),0)</f>
        <v>0</v>
      </c>
      <c r="F39" s="29" t="s">
        <v>353</v>
      </c>
      <c r="G39" s="35"/>
      <c r="H39" s="482">
        <f>IFERROR(IF(AND(E16=M16,E28*E26/1000&gt;=_Schwelle_PPBonus),E28*E26/1000*_Parkplatzbonus_pronovo,0),0)</f>
        <v>0</v>
      </c>
      <c r="I39" s="35" t="s">
        <v>354</v>
      </c>
      <c r="J39" s="35"/>
      <c r="K39" s="30"/>
    </row>
    <row r="40" spans="2:19" s="28" customFormat="1" ht="19.899999999999999" customHeight="1">
      <c r="B40" s="33" t="s">
        <v>352</v>
      </c>
      <c r="C40" s="35"/>
      <c r="D40" s="34" t="s">
        <v>362</v>
      </c>
      <c r="E40" s="482">
        <f>IFERROR(IF(AND(E19&gt;=_Neigungswinkel_für_NB_Bund,E19&lt;=90),E27*_Modullänge_Standard*_Modulbreite_Standard*_ZuschlagSteil_Stadt,0),0)</f>
        <v>0</v>
      </c>
      <c r="F40" s="29" t="s">
        <v>353</v>
      </c>
      <c r="G40" s="35"/>
      <c r="H40" s="482">
        <f>IFERROR(IF(AND(E19&gt;=_Neigungswinkel_für_NB_Bund,E19&lt;=90),E28*_Modullänge_Standard*_Modulbreite_Standard*_ZuschlagSteil_Stadt,0),0)</f>
        <v>0</v>
      </c>
      <c r="I40" s="35" t="s">
        <v>354</v>
      </c>
      <c r="J40" s="35"/>
      <c r="K40" s="30"/>
    </row>
    <row r="41" spans="2:19" s="28" customFormat="1" ht="19.899999999999999" customHeight="1" thickBot="1">
      <c r="B41" s="36" t="s">
        <v>337</v>
      </c>
      <c r="C41" s="37"/>
      <c r="D41" s="71" t="s">
        <v>363</v>
      </c>
      <c r="E41" s="78">
        <f>IF(AND((ABS($E18)+_AbweichungNord)&gt;=180,E19&lt;_Neigungswinkel_für_NB_Bund),E27*E26/1000*_ZuschlagNord_Stadt,0)</f>
        <v>0</v>
      </c>
      <c r="F41" s="31" t="s">
        <v>353</v>
      </c>
      <c r="G41" s="37"/>
      <c r="H41" s="78">
        <f>IF(AND((ABS($E18)+_AbweichungNord)&gt;=180,E19&lt;_Neigungswinkel_für_NB_Bund),E28*E26/1000*_ZuschlagNord_Stadt,0)</f>
        <v>0</v>
      </c>
      <c r="I41" s="37" t="s">
        <v>354</v>
      </c>
      <c r="J41" s="37"/>
      <c r="K41" s="32"/>
    </row>
    <row r="42" spans="2:19" ht="15.75" thickBot="1"/>
    <row r="43" spans="2:19" s="21" customFormat="1" ht="21.75" thickBot="1">
      <c r="B43" s="18" t="s">
        <v>189</v>
      </c>
      <c r="C43" s="19"/>
      <c r="D43" s="48"/>
      <c r="E43" s="19"/>
      <c r="F43" s="19"/>
      <c r="G43" s="19"/>
      <c r="H43" s="19"/>
      <c r="I43" s="19"/>
      <c r="J43" s="19"/>
      <c r="K43" s="20"/>
      <c r="O43"/>
      <c r="P43"/>
      <c r="Q43"/>
      <c r="R43"/>
      <c r="S43"/>
    </row>
    <row r="44" spans="2:19" s="23" customFormat="1" ht="15" hidden="1">
      <c r="B44" s="79"/>
      <c r="D44" s="23" t="s">
        <v>84</v>
      </c>
      <c r="F44" s="23">
        <v>-90</v>
      </c>
      <c r="G44" s="23">
        <v>-180</v>
      </c>
      <c r="H44" s="23">
        <v>90</v>
      </c>
      <c r="K44" s="80"/>
    </row>
    <row r="45" spans="2:19" s="23" customFormat="1" ht="15" hidden="1">
      <c r="B45" s="79"/>
      <c r="D45" s="23" t="s">
        <v>69</v>
      </c>
      <c r="F45" s="81">
        <f>RADIANS(F44)</f>
        <v>-1.5707963267948966</v>
      </c>
      <c r="G45" s="81">
        <f t="shared" ref="G45:H45" si="0">RADIANS(G44)</f>
        <v>-3.1415926535897931</v>
      </c>
      <c r="H45" s="81">
        <f t="shared" si="0"/>
        <v>1.5707963267948966</v>
      </c>
      <c r="K45" s="80"/>
    </row>
    <row r="46" spans="2:19" s="23" customFormat="1" ht="15" hidden="1">
      <c r="B46" s="79"/>
      <c r="D46" s="23" t="s">
        <v>70</v>
      </c>
      <c r="F46" s="23">
        <v>1</v>
      </c>
      <c r="G46" s="23">
        <v>3</v>
      </c>
      <c r="H46" s="23">
        <v>1</v>
      </c>
      <c r="K46" s="80"/>
    </row>
    <row r="47" spans="2:19" s="23" customFormat="1" ht="15" hidden="1">
      <c r="B47" s="79"/>
      <c r="D47" s="23" t="s">
        <v>85</v>
      </c>
      <c r="F47" s="82">
        <f>$F$46*SIN(ATAN(1/$F$46))/SIN(ASIN(SIN($E$21)*COS($F$45-PI()+$E$20))+ATAN(1/$F$46))</f>
        <v>1</v>
      </c>
      <c r="G47" s="82">
        <f>$G$46*SIN(ATAN(1/$G$46))/SIN(ASIN(SIN(-$E$21)*COS($G$45-PI()+$E$20))+ATAN(1/$G$46))</f>
        <v>3</v>
      </c>
      <c r="H47" s="82">
        <f>$H$46*SIN(ATAN(1/$H$46))/SIN(ASIN(SIN($E$21)*COS($H$45-PI()+$E$20))+ATAN(1/$H$46))</f>
        <v>1</v>
      </c>
      <c r="K47" s="80"/>
    </row>
    <row r="48" spans="2:19" s="23" customFormat="1" ht="15" hidden="1">
      <c r="B48" s="79"/>
      <c r="D48" s="23" t="s">
        <v>72</v>
      </c>
      <c r="F48" s="81">
        <f>ASIN(SIN($E$21)*COS(F45-$E$20))</f>
        <v>0</v>
      </c>
      <c r="G48" s="81">
        <f>ASIN(SIN($E$21)*COS(G45-$E$20))</f>
        <v>0</v>
      </c>
      <c r="H48" s="81">
        <f>ASIN(SIN($E$21)*COS(H45-$E$20))</f>
        <v>0</v>
      </c>
      <c r="K48" s="80"/>
    </row>
    <row r="49" spans="2:11" s="23" customFormat="1" ht="15" hidden="1">
      <c r="B49" s="79"/>
      <c r="D49" s="23" t="s">
        <v>73</v>
      </c>
      <c r="F49" s="83">
        <f>F48*180/PI()</f>
        <v>0</v>
      </c>
      <c r="G49" s="83">
        <f t="shared" ref="G49:H49" si="1">G48*180/PI()</f>
        <v>0</v>
      </c>
      <c r="H49" s="83">
        <f t="shared" si="1"/>
        <v>0</v>
      </c>
      <c r="K49" s="80"/>
    </row>
    <row r="50" spans="2:11" s="262" customFormat="1" ht="59.45" customHeight="1">
      <c r="B50" s="684" t="str">
        <f>"Zum Dachrand, sowie um Dachaufbauten wie Fenster, Lukarnen, Kamine, Lüftungsrohre etc. dürfen Abstände von "&amp;_Modul_Randabstand&amp;" m berücksichtigt werden. Die Verschattungsabstände durch hohe Objekte können zudem gemäss Kallkulation nach untenstehender Tabelle berücksichtigt werden. (Abstände auf der Dachfläche in die entsprechende Himmelsrichtung)"</f>
        <v>Zum Dachrand, sowie um Dachaufbauten wie Fenster, Lukarnen, Kamine, Lüftungsrohre etc. dürfen Abstände von 0.2 m berücksichtigt werden. Die Verschattungsabstände durch hohe Objekte können zudem gemäss Kallkulation nach untenstehender Tabelle berücksichtigt werden. (Abstände auf der Dachfläche in die entsprechende Himmelsrichtung)</v>
      </c>
      <c r="C50" s="685"/>
      <c r="D50" s="685"/>
      <c r="E50" s="685"/>
      <c r="F50" s="685"/>
      <c r="G50" s="685"/>
      <c r="H50" s="685"/>
      <c r="I50" s="685"/>
      <c r="J50" s="685"/>
      <c r="K50" s="686"/>
    </row>
    <row r="51" spans="2:11" s="28" customFormat="1" ht="19.899999999999999" customHeight="1">
      <c r="B51" s="49"/>
      <c r="C51" s="50"/>
      <c r="D51" s="51"/>
      <c r="E51" s="84"/>
      <c r="F51" s="683" t="s">
        <v>87</v>
      </c>
      <c r="G51" s="683"/>
      <c r="H51" s="683"/>
      <c r="K51" s="86"/>
    </row>
    <row r="52" spans="2:11" s="28" customFormat="1" ht="19.899999999999999" customHeight="1">
      <c r="B52" s="49" t="s">
        <v>91</v>
      </c>
      <c r="C52" s="50" t="s">
        <v>20</v>
      </c>
      <c r="D52" s="51"/>
      <c r="E52" s="87" t="s">
        <v>114</v>
      </c>
      <c r="F52" s="85" t="s">
        <v>88</v>
      </c>
      <c r="G52" s="85" t="s">
        <v>89</v>
      </c>
      <c r="H52" s="85" t="s">
        <v>90</v>
      </c>
      <c r="K52" s="86"/>
    </row>
    <row r="53" spans="2:11" s="28" customFormat="1" ht="19.899999999999999" customHeight="1">
      <c r="B53" s="88" t="s">
        <v>92</v>
      </c>
      <c r="C53" s="89"/>
      <c r="D53" s="90"/>
      <c r="E53" s="91" t="s">
        <v>86</v>
      </c>
      <c r="F53" s="91" t="s">
        <v>86</v>
      </c>
      <c r="G53" s="91" t="s">
        <v>86</v>
      </c>
      <c r="H53" s="91" t="s">
        <v>86</v>
      </c>
      <c r="I53" s="92"/>
      <c r="J53" s="92"/>
      <c r="K53" s="93"/>
    </row>
    <row r="54" spans="2:11" s="28" customFormat="1" ht="19.899999999999999" customHeight="1">
      <c r="B54" s="94">
        <v>1</v>
      </c>
      <c r="C54" s="315"/>
      <c r="D54" s="315"/>
      <c r="E54" s="316"/>
      <c r="F54" s="95" t="str">
        <f t="shared" ref="F54:F65" si="2">IF(ISNUMBER($E54),$E54*IF($F$47&gt;0,MIN($F$46:$F$47),MAX($F$46:$F$47)),"")</f>
        <v/>
      </c>
      <c r="G54" s="95" t="str">
        <f t="shared" ref="G54:G65" si="3">IF(ISNUMBER($E54),$E54*IF($G$47&gt;0,MIN($G$46:$G$47),MAX($G$46:$G$47)),"")</f>
        <v/>
      </c>
      <c r="H54" s="95" t="str">
        <f t="shared" ref="H54:H65" si="4">IF(ISNUMBER($E54),$E54*IF($H$47&gt;0,MIN($H$46:$H$47),MAX($H$46:$H$47)),"")</f>
        <v/>
      </c>
      <c r="I54" s="73"/>
      <c r="J54" s="73"/>
      <c r="K54" s="74"/>
    </row>
    <row r="55" spans="2:11" s="28" customFormat="1" ht="19.899999999999999" customHeight="1">
      <c r="B55" s="96">
        <v>2</v>
      </c>
      <c r="C55" s="317"/>
      <c r="D55" s="317"/>
      <c r="E55" s="318"/>
      <c r="F55" s="97" t="str">
        <f t="shared" si="2"/>
        <v/>
      </c>
      <c r="G55" s="97" t="str">
        <f t="shared" si="3"/>
        <v/>
      </c>
      <c r="H55" s="97" t="str">
        <f t="shared" si="4"/>
        <v/>
      </c>
      <c r="I55" s="35"/>
      <c r="J55" s="35"/>
      <c r="K55" s="30"/>
    </row>
    <row r="56" spans="2:11" s="28" customFormat="1" ht="19.899999999999999" customHeight="1">
      <c r="B56" s="96">
        <v>3</v>
      </c>
      <c r="C56" s="317"/>
      <c r="D56" s="317"/>
      <c r="E56" s="318"/>
      <c r="F56" s="97" t="str">
        <f t="shared" si="2"/>
        <v/>
      </c>
      <c r="G56" s="97" t="str">
        <f t="shared" si="3"/>
        <v/>
      </c>
      <c r="H56" s="97" t="str">
        <f t="shared" si="4"/>
        <v/>
      </c>
      <c r="I56" s="35"/>
      <c r="J56" s="35"/>
      <c r="K56" s="30"/>
    </row>
    <row r="57" spans="2:11" s="28" customFormat="1" ht="19.899999999999999" customHeight="1">
      <c r="B57" s="96">
        <v>4</v>
      </c>
      <c r="C57" s="317"/>
      <c r="D57" s="317"/>
      <c r="E57" s="318"/>
      <c r="F57" s="97" t="str">
        <f t="shared" si="2"/>
        <v/>
      </c>
      <c r="G57" s="97" t="str">
        <f t="shared" si="3"/>
        <v/>
      </c>
      <c r="H57" s="97" t="str">
        <f t="shared" si="4"/>
        <v/>
      </c>
      <c r="I57" s="35"/>
      <c r="J57" s="35"/>
      <c r="K57" s="30"/>
    </row>
    <row r="58" spans="2:11" s="28" customFormat="1" ht="19.899999999999999" customHeight="1">
      <c r="B58" s="96">
        <v>5</v>
      </c>
      <c r="C58" s="317"/>
      <c r="D58" s="317"/>
      <c r="E58" s="318"/>
      <c r="F58" s="97" t="str">
        <f t="shared" si="2"/>
        <v/>
      </c>
      <c r="G58" s="97" t="str">
        <f t="shared" si="3"/>
        <v/>
      </c>
      <c r="H58" s="97" t="str">
        <f t="shared" si="4"/>
        <v/>
      </c>
      <c r="I58" s="35"/>
      <c r="J58" s="35"/>
      <c r="K58" s="30"/>
    </row>
    <row r="59" spans="2:11" s="28" customFormat="1" ht="19.899999999999999" customHeight="1">
      <c r="B59" s="96">
        <v>6</v>
      </c>
      <c r="C59" s="317"/>
      <c r="D59" s="317"/>
      <c r="E59" s="318"/>
      <c r="F59" s="97" t="str">
        <f t="shared" si="2"/>
        <v/>
      </c>
      <c r="G59" s="97" t="str">
        <f t="shared" si="3"/>
        <v/>
      </c>
      <c r="H59" s="97" t="str">
        <f t="shared" si="4"/>
        <v/>
      </c>
      <c r="I59" s="35"/>
      <c r="J59" s="35"/>
      <c r="K59" s="30"/>
    </row>
    <row r="60" spans="2:11" s="28" customFormat="1" ht="19.899999999999999" customHeight="1">
      <c r="B60" s="96">
        <v>7</v>
      </c>
      <c r="C60" s="317"/>
      <c r="D60" s="317"/>
      <c r="E60" s="318"/>
      <c r="F60" s="97" t="str">
        <f t="shared" si="2"/>
        <v/>
      </c>
      <c r="G60" s="97" t="str">
        <f t="shared" si="3"/>
        <v/>
      </c>
      <c r="H60" s="97" t="str">
        <f t="shared" si="4"/>
        <v/>
      </c>
      <c r="I60" s="35"/>
      <c r="J60" s="35"/>
      <c r="K60" s="30"/>
    </row>
    <row r="61" spans="2:11" s="28" customFormat="1" ht="19.899999999999999" customHeight="1">
      <c r="B61" s="96">
        <v>8</v>
      </c>
      <c r="C61" s="317"/>
      <c r="D61" s="317"/>
      <c r="E61" s="318"/>
      <c r="F61" s="97" t="str">
        <f t="shared" si="2"/>
        <v/>
      </c>
      <c r="G61" s="97" t="str">
        <f t="shared" si="3"/>
        <v/>
      </c>
      <c r="H61" s="97" t="str">
        <f t="shared" si="4"/>
        <v/>
      </c>
      <c r="I61" s="35"/>
      <c r="J61" s="35"/>
      <c r="K61" s="30"/>
    </row>
    <row r="62" spans="2:11" s="28" customFormat="1" ht="19.899999999999999" customHeight="1">
      <c r="B62" s="96">
        <v>9</v>
      </c>
      <c r="C62" s="317"/>
      <c r="D62" s="317"/>
      <c r="E62" s="318"/>
      <c r="F62" s="97" t="str">
        <f t="shared" si="2"/>
        <v/>
      </c>
      <c r="G62" s="97" t="str">
        <f t="shared" si="3"/>
        <v/>
      </c>
      <c r="H62" s="97" t="str">
        <f t="shared" si="4"/>
        <v/>
      </c>
      <c r="I62" s="35"/>
      <c r="J62" s="35"/>
      <c r="K62" s="30"/>
    </row>
    <row r="63" spans="2:11" s="28" customFormat="1" ht="19.899999999999999" customHeight="1">
      <c r="B63" s="96">
        <v>10</v>
      </c>
      <c r="C63" s="317"/>
      <c r="D63" s="317"/>
      <c r="E63" s="318"/>
      <c r="F63" s="29" t="str">
        <f t="shared" si="2"/>
        <v/>
      </c>
      <c r="G63" s="29" t="str">
        <f t="shared" si="3"/>
        <v/>
      </c>
      <c r="H63" s="29" t="str">
        <f t="shared" si="4"/>
        <v/>
      </c>
      <c r="I63" s="35"/>
      <c r="J63" s="35"/>
      <c r="K63" s="30"/>
    </row>
    <row r="64" spans="2:11" s="28" customFormat="1" ht="19.899999999999999" customHeight="1">
      <c r="B64" s="96">
        <v>11</v>
      </c>
      <c r="C64" s="317"/>
      <c r="D64" s="317"/>
      <c r="E64" s="318"/>
      <c r="F64" s="29" t="str">
        <f t="shared" si="2"/>
        <v/>
      </c>
      <c r="G64" s="29" t="str">
        <f t="shared" si="3"/>
        <v/>
      </c>
      <c r="H64" s="29" t="str">
        <f t="shared" si="4"/>
        <v/>
      </c>
      <c r="I64" s="35"/>
      <c r="J64" s="35"/>
      <c r="K64" s="30"/>
    </row>
    <row r="65" spans="2:11" s="28" customFormat="1" ht="19.899999999999999" customHeight="1" thickBot="1">
      <c r="B65" s="98">
        <v>12</v>
      </c>
      <c r="C65" s="319"/>
      <c r="D65" s="319"/>
      <c r="E65" s="320"/>
      <c r="F65" s="31" t="str">
        <f t="shared" si="2"/>
        <v/>
      </c>
      <c r="G65" s="31" t="str">
        <f t="shared" si="3"/>
        <v/>
      </c>
      <c r="H65" s="31" t="str">
        <f t="shared" si="4"/>
        <v/>
      </c>
      <c r="I65" s="37"/>
      <c r="J65" s="37"/>
      <c r="K65" s="32"/>
    </row>
    <row r="66" spans="2:11" ht="15"/>
    <row r="67" spans="2:11" ht="15" hidden="1"/>
    <row r="68" spans="2:11" ht="14.45" customHeight="1"/>
  </sheetData>
  <sheetProtection algorithmName="SHA-512" hashValue="U4iFSljXe3NzoAb7D7bK5BKF7AsxMY2Y5rYqQv3u4fWghKT7wxlEOZJnckIW2/SWa/F+oYKciEklPyt6zSUgOA==" saltValue="fMhu9s/mhyvYVo4o8p190A==" spinCount="100000" sheet="1" objects="1" scenarios="1" selectLockedCells="1" autoFilter="0"/>
  <mergeCells count="17">
    <mergeCell ref="E2:J4"/>
    <mergeCell ref="E11:F11"/>
    <mergeCell ref="B9:C9"/>
    <mergeCell ref="E9:F9"/>
    <mergeCell ref="H9:J9"/>
    <mergeCell ref="B10:C10"/>
    <mergeCell ref="E10:F10"/>
    <mergeCell ref="H10:J10"/>
    <mergeCell ref="H11:J11"/>
    <mergeCell ref="B11:C11"/>
    <mergeCell ref="B50:K50"/>
    <mergeCell ref="F51:H51"/>
    <mergeCell ref="B12:C12"/>
    <mergeCell ref="E12:F12"/>
    <mergeCell ref="E15:F15"/>
    <mergeCell ref="E24:F24"/>
    <mergeCell ref="B16:C16"/>
  </mergeCells>
  <dataValidations count="2">
    <dataValidation type="list" allowBlank="1" showInputMessage="1" showErrorMessage="1" sqref="E24" xr:uid="{00000000-0002-0000-0400-000000000000}">
      <formula1>$G$24:$H$24</formula1>
    </dataValidation>
    <dataValidation type="list" allowBlank="1" showInputMessage="1" showErrorMessage="1" sqref="E16" xr:uid="{8E44DB99-C91C-4386-9F29-42052391678C}">
      <formula1>$M$16:$M$17</formula1>
    </dataValidation>
  </dataValidations>
  <pageMargins left="0.7" right="0.7" top="0.78740157499999996" bottom="0.78740157499999996" header="0.3" footer="0.3"/>
  <pageSetup paperSize="9" scale="64" orientation="portrait" r:id="rId1"/>
  <colBreaks count="1" manualBreakCount="1">
    <brk id="12"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S68"/>
  <sheetViews>
    <sheetView topLeftCell="A7" workbookViewId="0">
      <selection activeCell="E24" sqref="E24:F24"/>
    </sheetView>
  </sheetViews>
  <sheetFormatPr baseColWidth="10" defaultColWidth="0" defaultRowHeight="14.45" customHeight="1" zeroHeight="1"/>
  <cols>
    <col min="1" max="1" width="4.7109375" customWidth="1"/>
    <col min="2" max="2" width="8.28515625" customWidth="1"/>
    <col min="3" max="3" width="24.85546875" customWidth="1"/>
    <col min="4" max="4" width="7.85546875" style="23" hidden="1" customWidth="1"/>
    <col min="5" max="5" width="12.28515625" customWidth="1"/>
    <col min="6" max="8" width="14.42578125" customWidth="1"/>
    <col min="9" max="10" width="11.42578125" customWidth="1"/>
    <col min="11" max="11" width="12.7109375" bestFit="1" customWidth="1"/>
    <col min="12" max="12" width="5.28515625" customWidth="1"/>
    <col min="13" max="16384" width="11.42578125" hidden="1"/>
  </cols>
  <sheetData>
    <row r="1" spans="1:19" ht="15.75" thickBot="1">
      <c r="A1" s="27" t="str">
        <f ca="1">MID(CELL("dateiname",A1),SEARCH("]",CELL("dateiname",A1))+1,31)</f>
        <v>TF (3)</v>
      </c>
    </row>
    <row r="2" spans="1:19" ht="15" customHeight="1">
      <c r="B2" s="389"/>
      <c r="C2" s="390"/>
      <c r="D2" s="390"/>
      <c r="E2" s="666" t="str">
        <f>_Dok_Titel</f>
        <v>Planungshilfe
Solar- und Photovoltaikanlagen auf Schrägdächern (Art. 77 Abs. 3 und 4 BZR)
Formular-Release 2.5</v>
      </c>
      <c r="F2" s="666"/>
      <c r="G2" s="666"/>
      <c r="H2" s="666"/>
      <c r="I2" s="666"/>
      <c r="J2" s="666"/>
      <c r="K2" s="391"/>
    </row>
    <row r="3" spans="1:19" ht="15" customHeight="1">
      <c r="B3" s="392"/>
      <c r="C3" s="393"/>
      <c r="D3" s="393"/>
      <c r="E3" s="667"/>
      <c r="F3" s="667"/>
      <c r="G3" s="667"/>
      <c r="H3" s="667"/>
      <c r="I3" s="667"/>
      <c r="J3" s="667"/>
      <c r="K3" s="394"/>
    </row>
    <row r="4" spans="1:19" ht="34.15" customHeight="1" thickBot="1">
      <c r="B4" s="395"/>
      <c r="C4" s="396"/>
      <c r="D4" s="396"/>
      <c r="E4" s="668"/>
      <c r="F4" s="668"/>
      <c r="G4" s="668"/>
      <c r="H4" s="668"/>
      <c r="I4" s="668"/>
      <c r="J4" s="668"/>
      <c r="K4" s="397"/>
    </row>
    <row r="5" spans="1:19" ht="15.75" thickBot="1"/>
    <row r="6" spans="1:19" s="21" customFormat="1" ht="21.75" thickBot="1">
      <c r="B6" s="18" t="str">
        <f ca="1">"Zusammenstellung Kennwerte Teilfläche "&amp;MID(CELL("dateiname",A1),SEARCH("]",CELL("dateiname",A1))+1,31)</f>
        <v>Zusammenstellung Kennwerte Teilfläche TF (3)</v>
      </c>
      <c r="C6" s="19"/>
      <c r="D6" s="48"/>
      <c r="E6" s="19"/>
      <c r="F6" s="19"/>
      <c r="G6" s="19"/>
      <c r="H6" s="19"/>
      <c r="I6" s="19"/>
      <c r="J6" s="19"/>
      <c r="K6" s="20"/>
      <c r="O6"/>
      <c r="P6"/>
      <c r="Q6"/>
      <c r="R6"/>
      <c r="S6"/>
    </row>
    <row r="7" spans="1:19" ht="15.75" thickBot="1"/>
    <row r="8" spans="1:19" s="21" customFormat="1" ht="21.75" thickBot="1">
      <c r="B8" s="18" t="s">
        <v>26</v>
      </c>
      <c r="C8" s="19"/>
      <c r="D8" s="48"/>
      <c r="E8" s="19"/>
      <c r="F8" s="19"/>
      <c r="G8" s="19"/>
      <c r="H8" s="19"/>
      <c r="I8" s="19"/>
      <c r="J8" s="19"/>
      <c r="K8" s="20"/>
      <c r="O8"/>
      <c r="P8"/>
      <c r="Q8"/>
      <c r="R8"/>
      <c r="S8"/>
    </row>
    <row r="9" spans="1:19" s="28" customFormat="1" ht="19.899999999999999" customHeight="1">
      <c r="B9" s="551" t="str">
        <f>Bericht!B7</f>
        <v>Projektname</v>
      </c>
      <c r="C9" s="552"/>
      <c r="D9" s="415"/>
      <c r="E9" s="669">
        <f>_Projektname</f>
        <v>0</v>
      </c>
      <c r="F9" s="669"/>
      <c r="G9" s="426"/>
      <c r="H9" s="649" t="str">
        <f>Bericht!J7</f>
        <v>Netzversorger:</v>
      </c>
      <c r="I9" s="649"/>
      <c r="J9" s="649"/>
      <c r="K9" s="138" t="str">
        <f>_Netzversorger</f>
        <v>ckw</v>
      </c>
    </row>
    <row r="10" spans="1:19" s="28" customFormat="1" ht="19.899999999999999" customHeight="1">
      <c r="B10" s="553" t="str">
        <f>Bericht!B8</f>
        <v>Adresse</v>
      </c>
      <c r="C10" s="554"/>
      <c r="D10" s="416"/>
      <c r="E10" s="670">
        <f>_Adresse</f>
        <v>0</v>
      </c>
      <c r="F10" s="670"/>
      <c r="G10" s="427"/>
      <c r="H10" s="650" t="str">
        <f>Bericht!J8</f>
        <v>Geplantes Datum Fertigstellung:</v>
      </c>
      <c r="I10" s="650"/>
      <c r="J10" s="650"/>
      <c r="K10" s="139">
        <f>_Datum_IBS</f>
        <v>0</v>
      </c>
      <c r="L10" s="410"/>
    </row>
    <row r="11" spans="1:19" s="28" customFormat="1" ht="19.899999999999999" customHeight="1">
      <c r="B11" s="553" t="str">
        <f>Bericht!B9</f>
        <v>PLZ Ort</v>
      </c>
      <c r="C11" s="554"/>
      <c r="D11" s="416"/>
      <c r="E11" s="670">
        <f>_PLZ</f>
        <v>0</v>
      </c>
      <c r="F11" s="670"/>
      <c r="G11" s="427"/>
      <c r="H11" s="650" t="s">
        <v>277</v>
      </c>
      <c r="I11" s="650"/>
      <c r="J11" s="650"/>
      <c r="K11" s="409">
        <f>_Letzte_REV</f>
        <v>46042</v>
      </c>
      <c r="L11" s="411"/>
    </row>
    <row r="12" spans="1:19" s="28" customFormat="1" ht="19.899999999999999" customHeight="1" thickBot="1">
      <c r="B12" s="680" t="s">
        <v>138</v>
      </c>
      <c r="C12" s="681"/>
      <c r="D12" s="31"/>
      <c r="E12" s="556">
        <f>Bericht!D10</f>
        <v>0</v>
      </c>
      <c r="F12" s="556"/>
      <c r="G12" s="428"/>
      <c r="H12" s="31" t="s">
        <v>278</v>
      </c>
      <c r="I12" s="31"/>
      <c r="J12" s="31"/>
      <c r="K12" s="358">
        <f>_Nächste_REV</f>
        <v>46357</v>
      </c>
      <c r="L12" s="411"/>
    </row>
    <row r="13" spans="1:19" ht="15.75" thickBot="1"/>
    <row r="14" spans="1:19" s="21" customFormat="1" ht="21.75" thickBot="1">
      <c r="B14" s="18" t="s">
        <v>75</v>
      </c>
      <c r="C14" s="19"/>
      <c r="D14" s="48"/>
      <c r="E14" s="19"/>
      <c r="F14" s="19"/>
      <c r="G14" s="19"/>
      <c r="H14" s="19"/>
      <c r="I14" s="19"/>
      <c r="J14" s="19"/>
      <c r="K14" s="20"/>
      <c r="O14"/>
      <c r="P14"/>
      <c r="Q14"/>
      <c r="R14"/>
      <c r="S14"/>
    </row>
    <row r="15" spans="1:19" s="28" customFormat="1" ht="19.899999999999999" customHeight="1">
      <c r="B15" s="40" t="s">
        <v>93</v>
      </c>
      <c r="C15" s="41"/>
      <c r="D15" s="42" t="s">
        <v>155</v>
      </c>
      <c r="E15" s="679"/>
      <c r="F15" s="679"/>
      <c r="G15" s="41"/>
      <c r="H15" s="41"/>
      <c r="I15" s="41"/>
      <c r="J15" s="41"/>
      <c r="K15" s="39"/>
    </row>
    <row r="16" spans="1:19" s="28" customFormat="1" ht="19.899999999999999" customHeight="1">
      <c r="B16" s="682" t="s">
        <v>355</v>
      </c>
      <c r="C16" s="616"/>
      <c r="D16" s="66" t="s">
        <v>366</v>
      </c>
      <c r="E16" s="489" t="s">
        <v>358</v>
      </c>
      <c r="F16" s="29"/>
      <c r="G16" s="73" t="s">
        <v>356</v>
      </c>
      <c r="H16" s="73"/>
      <c r="I16" s="73"/>
      <c r="J16" s="73"/>
      <c r="K16" s="74"/>
      <c r="M16" s="28" t="s">
        <v>357</v>
      </c>
    </row>
    <row r="17" spans="2:19" s="28" customFormat="1" ht="19.899999999999999" customHeight="1">
      <c r="B17" s="72" t="s">
        <v>96</v>
      </c>
      <c r="C17" s="73"/>
      <c r="D17" s="66" t="s">
        <v>129</v>
      </c>
      <c r="E17" s="270"/>
      <c r="F17" s="65" t="s">
        <v>127</v>
      </c>
      <c r="G17" s="73" t="s">
        <v>234</v>
      </c>
      <c r="H17" s="73"/>
      <c r="I17" s="73"/>
      <c r="J17" s="73"/>
      <c r="K17" s="74"/>
      <c r="M17" s="28" t="s">
        <v>358</v>
      </c>
    </row>
    <row r="18" spans="2:19" s="28" customFormat="1" ht="19.899999999999999" customHeight="1">
      <c r="B18" s="33" t="s">
        <v>94</v>
      </c>
      <c r="C18" s="35"/>
      <c r="D18" s="34" t="s">
        <v>37</v>
      </c>
      <c r="E18" s="271"/>
      <c r="F18" s="29" t="s">
        <v>54</v>
      </c>
      <c r="G18" s="35" t="s">
        <v>67</v>
      </c>
      <c r="H18" s="35"/>
      <c r="I18" s="35"/>
      <c r="J18" s="35"/>
      <c r="K18" s="30"/>
    </row>
    <row r="19" spans="2:19" s="28" customFormat="1" ht="19.899999999999999" customHeight="1" thickBot="1">
      <c r="B19" s="36" t="s">
        <v>95</v>
      </c>
      <c r="C19" s="37"/>
      <c r="D19" s="71" t="s">
        <v>38</v>
      </c>
      <c r="E19" s="272"/>
      <c r="F19" s="31" t="s">
        <v>54</v>
      </c>
      <c r="G19" s="37" t="s">
        <v>68</v>
      </c>
      <c r="H19" s="37"/>
      <c r="I19" s="37"/>
      <c r="J19" s="37"/>
      <c r="K19" s="32"/>
    </row>
    <row r="20" spans="2:19" s="23" customFormat="1" ht="15" hidden="1" customHeight="1">
      <c r="C20" s="23" t="s">
        <v>74</v>
      </c>
      <c r="E20" s="23">
        <f>RADIANS(E18)</f>
        <v>0</v>
      </c>
    </row>
    <row r="21" spans="2:19" s="23" customFormat="1" ht="15" hidden="1">
      <c r="C21" s="23" t="s">
        <v>71</v>
      </c>
      <c r="E21" s="23">
        <f>-RADIANS(E19)</f>
        <v>0</v>
      </c>
    </row>
    <row r="22" spans="2:19" ht="15.75" thickBot="1"/>
    <row r="23" spans="2:19" s="21" customFormat="1" ht="21.75" thickBot="1">
      <c r="B23" s="18" t="s">
        <v>50</v>
      </c>
      <c r="C23" s="19"/>
      <c r="D23" s="48"/>
      <c r="E23" s="19"/>
      <c r="F23" s="19"/>
      <c r="G23" s="19"/>
      <c r="H23" s="19"/>
      <c r="I23" s="19"/>
      <c r="J23" s="19"/>
      <c r="K23" s="20"/>
      <c r="O23"/>
      <c r="P23"/>
      <c r="Q23"/>
      <c r="R23"/>
      <c r="S23"/>
    </row>
    <row r="24" spans="2:19" s="28" customFormat="1" ht="19.899999999999999" customHeight="1">
      <c r="B24" s="40" t="s">
        <v>51</v>
      </c>
      <c r="C24" s="41"/>
      <c r="D24" s="42" t="s">
        <v>76</v>
      </c>
      <c r="E24" s="687" t="s">
        <v>105</v>
      </c>
      <c r="F24" s="687"/>
      <c r="G24" s="41" t="s">
        <v>104</v>
      </c>
      <c r="H24" s="41" t="s">
        <v>105</v>
      </c>
      <c r="I24" s="41"/>
      <c r="J24" s="41"/>
      <c r="K24" s="39"/>
    </row>
    <row r="25" spans="2:19" s="28" customFormat="1" ht="19.899999999999999" customHeight="1">
      <c r="B25" s="72" t="s">
        <v>229</v>
      </c>
      <c r="C25" s="73"/>
      <c r="D25" s="66" t="s">
        <v>235</v>
      </c>
      <c r="E25" s="485" t="str">
        <f>IF((ABS($E18)+_AbweichungNord)&gt;180,"Satiniert","Standard")</f>
        <v>Standard</v>
      </c>
      <c r="F25" s="485"/>
      <c r="G25" s="73"/>
      <c r="H25" s="73"/>
      <c r="I25" s="73"/>
      <c r="J25" s="73"/>
      <c r="K25" s="74"/>
    </row>
    <row r="26" spans="2:19" s="28" customFormat="1" ht="19.899999999999999" customHeight="1">
      <c r="B26" s="33" t="s">
        <v>49</v>
      </c>
      <c r="C26" s="35"/>
      <c r="D26" s="34" t="s">
        <v>40</v>
      </c>
      <c r="E26" s="29">
        <f>IF((ABS($E18)+_AbweichungNord)&gt;180,_Modulleistung_Satin,_Modulleistung_Standard)</f>
        <v>485</v>
      </c>
      <c r="F26" s="29" t="s">
        <v>58</v>
      </c>
      <c r="G26" s="35" t="str">
        <f ca="1">"Modulleistung definiert im Tab "&amp;Datengrundlage!A1&amp;""</f>
        <v>Modulleistung definiert im Tab Datengrundlage</v>
      </c>
      <c r="H26" s="35"/>
      <c r="I26" s="35"/>
      <c r="J26" s="35"/>
      <c r="K26" s="30"/>
    </row>
    <row r="27" spans="2:19" s="28" customFormat="1" ht="19.899999999999999" customHeight="1">
      <c r="B27" s="33" t="s">
        <v>196</v>
      </c>
      <c r="C27" s="35"/>
      <c r="D27" s="34" t="s">
        <v>97</v>
      </c>
      <c r="E27" s="273"/>
      <c r="F27" s="29" t="s">
        <v>99</v>
      </c>
      <c r="G27" s="35" t="s">
        <v>202</v>
      </c>
      <c r="H27" s="35"/>
      <c r="I27" s="35"/>
      <c r="J27" s="35"/>
      <c r="K27" s="30"/>
    </row>
    <row r="28" spans="2:19" s="28" customFormat="1" ht="19.899999999999999" customHeight="1" thickBot="1">
      <c r="B28" s="36" t="s">
        <v>195</v>
      </c>
      <c r="C28" s="37"/>
      <c r="D28" s="71" t="s">
        <v>154</v>
      </c>
      <c r="E28" s="313">
        <f>E27</f>
        <v>0</v>
      </c>
      <c r="F28" s="31" t="s">
        <v>99</v>
      </c>
      <c r="G28" s="37" t="s">
        <v>203</v>
      </c>
      <c r="H28" s="37"/>
      <c r="I28" s="37"/>
      <c r="J28" s="37"/>
      <c r="K28" s="32"/>
    </row>
    <row r="29" spans="2:19" ht="15.75" thickBot="1"/>
    <row r="30" spans="2:19" s="21" customFormat="1" ht="21.75" thickBot="1">
      <c r="B30" s="18" t="s">
        <v>281</v>
      </c>
      <c r="C30" s="19"/>
      <c r="D30" s="48"/>
      <c r="E30" s="19"/>
      <c r="F30" s="19"/>
      <c r="G30" s="19"/>
      <c r="H30" s="19"/>
      <c r="I30" s="19"/>
      <c r="J30" s="19"/>
      <c r="K30" s="20"/>
      <c r="O30"/>
      <c r="P30"/>
      <c r="Q30"/>
      <c r="R30"/>
      <c r="S30"/>
    </row>
    <row r="31" spans="2:19" s="28" customFormat="1" ht="19.899999999999999" customHeight="1">
      <c r="B31" s="40" t="s">
        <v>120</v>
      </c>
      <c r="C31" s="41"/>
      <c r="D31" s="42"/>
      <c r="E31" s="76">
        <f>_Spez_Ertrag_Standort</f>
        <v>900</v>
      </c>
      <c r="F31" s="75" t="s">
        <v>123</v>
      </c>
      <c r="G31" s="41" t="str">
        <f>"Spez. Ertrag am Standort"</f>
        <v>Spez. Ertrag am Standort</v>
      </c>
      <c r="H31" s="41"/>
      <c r="I31" s="41"/>
      <c r="J31" s="41"/>
      <c r="K31" s="39"/>
    </row>
    <row r="32" spans="2:19" s="28" customFormat="1" ht="19.899999999999999" customHeight="1">
      <c r="B32" s="33" t="s">
        <v>119</v>
      </c>
      <c r="C32" s="35"/>
      <c r="D32" s="34"/>
      <c r="E32" s="77" cm="1">
        <f t="array" ref="E32">INDEX(_Faktor_Ausrichtung,ROUND(((E19/_RasterNeigung))+1,0),ROUND((((E18)/_RasterAzimut))+180/_RasterAzimut+1,0),1)</f>
        <v>1</v>
      </c>
      <c r="F32" s="29"/>
      <c r="G32" s="35" t="s">
        <v>115</v>
      </c>
      <c r="H32" s="35"/>
      <c r="I32" s="35"/>
      <c r="J32" s="35"/>
      <c r="K32" s="30"/>
    </row>
    <row r="33" spans="2:19" s="44" customFormat="1" ht="19.899999999999999" hidden="1" customHeight="1">
      <c r="B33" s="43" t="s">
        <v>121</v>
      </c>
      <c r="C33" s="34"/>
      <c r="D33" s="34"/>
      <c r="E33" s="47">
        <f>E31*E32</f>
        <v>900</v>
      </c>
      <c r="F33" s="45" t="s">
        <v>123</v>
      </c>
      <c r="G33" s="34" t="s">
        <v>116</v>
      </c>
      <c r="H33" s="34"/>
      <c r="I33" s="34"/>
      <c r="J33" s="34"/>
      <c r="K33" s="46"/>
    </row>
    <row r="34" spans="2:19" s="28" customFormat="1" ht="19.899999999999999" customHeight="1">
      <c r="B34" s="33" t="s">
        <v>148</v>
      </c>
      <c r="C34" s="35"/>
      <c r="D34" s="34" t="s">
        <v>151</v>
      </c>
      <c r="E34" s="314"/>
      <c r="F34" s="29" t="s">
        <v>123</v>
      </c>
      <c r="G34" s="35" t="s">
        <v>117</v>
      </c>
      <c r="H34" s="35"/>
      <c r="I34" s="35"/>
      <c r="J34" s="35"/>
      <c r="K34" s="30"/>
    </row>
    <row r="35" spans="2:19" s="28" customFormat="1" ht="19.899999999999999" customHeight="1" thickBot="1">
      <c r="B35" s="36" t="s">
        <v>122</v>
      </c>
      <c r="C35" s="37"/>
      <c r="D35" s="71" t="s">
        <v>77</v>
      </c>
      <c r="E35" s="78">
        <f>IF(ISNUMBER(E34),E34,E33)</f>
        <v>900</v>
      </c>
      <c r="F35" s="31" t="s">
        <v>123</v>
      </c>
      <c r="G35" s="37" t="s">
        <v>118</v>
      </c>
      <c r="H35" s="37"/>
      <c r="I35" s="37"/>
      <c r="J35" s="37"/>
      <c r="K35" s="32"/>
    </row>
    <row r="36" spans="2:19" ht="15.75" thickBot="1"/>
    <row r="37" spans="2:19" s="21" customFormat="1" ht="21.75" thickBot="1">
      <c r="B37" s="18" t="s">
        <v>350</v>
      </c>
      <c r="C37" s="19"/>
      <c r="D37" s="48"/>
      <c r="E37" s="19"/>
      <c r="F37" s="19"/>
      <c r="G37" s="19"/>
      <c r="H37" s="19"/>
      <c r="I37" s="19"/>
      <c r="J37" s="19"/>
      <c r="K37" s="20"/>
      <c r="O37"/>
      <c r="P37"/>
      <c r="Q37"/>
      <c r="R37"/>
      <c r="S37"/>
    </row>
    <row r="38" spans="2:19" s="28" customFormat="1" ht="19.899999999999999" customHeight="1">
      <c r="B38" s="40" t="s">
        <v>351</v>
      </c>
      <c r="C38" s="41"/>
      <c r="D38" s="42" t="s">
        <v>365</v>
      </c>
      <c r="E38" s="76">
        <f>IF(AND(E19&gt;=_Neigungswinkel_für_NB_Bund,E19&lt;=90),E27*E26/1000*_Neigungswinkelbonus_Bund,0)</f>
        <v>0</v>
      </c>
      <c r="F38" s="483" t="s">
        <v>353</v>
      </c>
      <c r="G38" s="41"/>
      <c r="H38" s="76">
        <f>IF(AND(E19&gt;=_Neigungswinkel_für_NB_Bund,E19&lt;=90),E28*E26/1000*_Neigungswinkelbonus_Bund,0)</f>
        <v>0</v>
      </c>
      <c r="I38" s="41" t="s">
        <v>354</v>
      </c>
      <c r="J38" s="41"/>
      <c r="K38" s="39"/>
    </row>
    <row r="39" spans="2:19" s="28" customFormat="1" ht="19.899999999999999" customHeight="1">
      <c r="B39" s="33" t="s">
        <v>359</v>
      </c>
      <c r="C39" s="35"/>
      <c r="D39" s="34" t="s">
        <v>364</v>
      </c>
      <c r="E39" s="482">
        <f>IFERROR(IF(AND(E16=M16,E27*E26/1000&gt;=_Schwelle_PPBonus),E27*E26/1000*_Parkplatzbonus_pronovo,0),0)</f>
        <v>0</v>
      </c>
      <c r="F39" s="29" t="s">
        <v>353</v>
      </c>
      <c r="G39" s="35"/>
      <c r="H39" s="482">
        <f>IFERROR(IF(AND(E16=M16,E28*E26/1000&gt;=_Schwelle_PPBonus),E28*E26/1000*_Parkplatzbonus_pronovo,0),0)</f>
        <v>0</v>
      </c>
      <c r="I39" s="35" t="s">
        <v>354</v>
      </c>
      <c r="J39" s="35"/>
      <c r="K39" s="30"/>
    </row>
    <row r="40" spans="2:19" s="28" customFormat="1" ht="19.899999999999999" customHeight="1">
      <c r="B40" s="33" t="s">
        <v>352</v>
      </c>
      <c r="C40" s="35"/>
      <c r="D40" s="34" t="s">
        <v>362</v>
      </c>
      <c r="E40" s="482">
        <f>IFERROR(IF(AND(E19&gt;=_Neigungswinkel_für_NB_Bund,E19&lt;=90),E27*_Modullänge_Standard*_Modulbreite_Standard*_ZuschlagSteil_Stadt,0),0)</f>
        <v>0</v>
      </c>
      <c r="F40" s="29" t="s">
        <v>353</v>
      </c>
      <c r="G40" s="35"/>
      <c r="H40" s="482">
        <f>IFERROR(IF(AND(E19&gt;=_Neigungswinkel_für_NB_Bund,E19&lt;=90),E28*_Modullänge_Standard*_Modulbreite_Standard*_ZuschlagSteil_Stadt,0),0)</f>
        <v>0</v>
      </c>
      <c r="I40" s="35" t="s">
        <v>354</v>
      </c>
      <c r="J40" s="35"/>
      <c r="K40" s="30"/>
    </row>
    <row r="41" spans="2:19" s="28" customFormat="1" ht="19.899999999999999" customHeight="1" thickBot="1">
      <c r="B41" s="36" t="s">
        <v>337</v>
      </c>
      <c r="C41" s="37"/>
      <c r="D41" s="71" t="s">
        <v>363</v>
      </c>
      <c r="E41" s="78">
        <f>IF(AND((ABS($E18)+_AbweichungNord)&gt;=180,E19&lt;_Neigungswinkel_für_NB_Bund),E27*E26/1000*_ZuschlagNord_Stadt,0)</f>
        <v>0</v>
      </c>
      <c r="F41" s="31" t="s">
        <v>353</v>
      </c>
      <c r="G41" s="37"/>
      <c r="H41" s="78">
        <f>IF(AND((ABS($E18)+_AbweichungNord)&gt;=180,E19&lt;_Neigungswinkel_für_NB_Bund),E28*E26/1000*_ZuschlagNord_Stadt,0)</f>
        <v>0</v>
      </c>
      <c r="I41" s="37" t="s">
        <v>354</v>
      </c>
      <c r="J41" s="37"/>
      <c r="K41" s="32"/>
    </row>
    <row r="42" spans="2:19" ht="15.75" thickBot="1"/>
    <row r="43" spans="2:19" s="21" customFormat="1" ht="21.75" thickBot="1">
      <c r="B43" s="18" t="s">
        <v>189</v>
      </c>
      <c r="C43" s="19"/>
      <c r="D43" s="48"/>
      <c r="E43" s="19"/>
      <c r="F43" s="19"/>
      <c r="G43" s="19"/>
      <c r="H43" s="19"/>
      <c r="I43" s="19"/>
      <c r="J43" s="19"/>
      <c r="K43" s="20"/>
      <c r="O43"/>
      <c r="P43"/>
      <c r="Q43"/>
      <c r="R43"/>
      <c r="S43"/>
    </row>
    <row r="44" spans="2:19" s="23" customFormat="1" ht="15" hidden="1">
      <c r="B44" s="79"/>
      <c r="D44" s="23" t="s">
        <v>84</v>
      </c>
      <c r="F44" s="23">
        <v>-90</v>
      </c>
      <c r="G44" s="23">
        <v>-180</v>
      </c>
      <c r="H44" s="23">
        <v>90</v>
      </c>
      <c r="K44" s="80"/>
    </row>
    <row r="45" spans="2:19" s="23" customFormat="1" ht="15" hidden="1">
      <c r="B45" s="79"/>
      <c r="D45" s="23" t="s">
        <v>69</v>
      </c>
      <c r="F45" s="81">
        <f>RADIANS(F44)</f>
        <v>-1.5707963267948966</v>
      </c>
      <c r="G45" s="81">
        <f t="shared" ref="G45:H45" si="0">RADIANS(G44)</f>
        <v>-3.1415926535897931</v>
      </c>
      <c r="H45" s="81">
        <f t="shared" si="0"/>
        <v>1.5707963267948966</v>
      </c>
      <c r="K45" s="80"/>
    </row>
    <row r="46" spans="2:19" s="23" customFormat="1" ht="15" hidden="1">
      <c r="B46" s="79"/>
      <c r="D46" s="23" t="s">
        <v>70</v>
      </c>
      <c r="F46" s="23">
        <v>1</v>
      </c>
      <c r="G46" s="23">
        <v>3</v>
      </c>
      <c r="H46" s="23">
        <v>1</v>
      </c>
      <c r="K46" s="80"/>
    </row>
    <row r="47" spans="2:19" s="23" customFormat="1" ht="15" hidden="1">
      <c r="B47" s="79"/>
      <c r="D47" s="23" t="s">
        <v>85</v>
      </c>
      <c r="F47" s="82">
        <f>$F$46*SIN(ATAN(1/$F$46))/SIN(ASIN(SIN($E$21)*COS($F$45-PI()+$E$20))+ATAN(1/$F$46))</f>
        <v>1</v>
      </c>
      <c r="G47" s="82">
        <f>$G$46*SIN(ATAN(1/$G$46))/SIN(ASIN(SIN(-$E$21)*COS($G$45-PI()+$E$20))+ATAN(1/$G$46))</f>
        <v>3</v>
      </c>
      <c r="H47" s="82">
        <f>$H$46*SIN(ATAN(1/$H$46))/SIN(ASIN(SIN($E$21)*COS($H$45-PI()+$E$20))+ATAN(1/$H$46))</f>
        <v>1</v>
      </c>
      <c r="K47" s="80"/>
    </row>
    <row r="48" spans="2:19" s="23" customFormat="1" ht="15" hidden="1">
      <c r="B48" s="79"/>
      <c r="D48" s="23" t="s">
        <v>72</v>
      </c>
      <c r="F48" s="81">
        <f>ASIN(SIN($E$21)*COS(F45-$E$20))</f>
        <v>0</v>
      </c>
      <c r="G48" s="81">
        <f>ASIN(SIN($E$21)*COS(G45-$E$20))</f>
        <v>0</v>
      </c>
      <c r="H48" s="81">
        <f>ASIN(SIN($E$21)*COS(H45-$E$20))</f>
        <v>0</v>
      </c>
      <c r="K48" s="80"/>
    </row>
    <row r="49" spans="2:11" s="23" customFormat="1" ht="15" hidden="1">
      <c r="B49" s="79"/>
      <c r="D49" s="23" t="s">
        <v>73</v>
      </c>
      <c r="F49" s="83">
        <f>F48*180/PI()</f>
        <v>0</v>
      </c>
      <c r="G49" s="83">
        <f t="shared" ref="G49:H49" si="1">G48*180/PI()</f>
        <v>0</v>
      </c>
      <c r="H49" s="83">
        <f t="shared" si="1"/>
        <v>0</v>
      </c>
      <c r="K49" s="80"/>
    </row>
    <row r="50" spans="2:11" s="262" customFormat="1" ht="59.45" customHeight="1">
      <c r="B50" s="684" t="str">
        <f>"Zum Dachrand, sowie um Dachaufbauten wie Fenster, Lukarnen, Kamine, Lüftungsrohre etc. dürfen Abstände von "&amp;_Modul_Randabstand&amp;" m berücksichtigt werden. Die Verschattungsabstände durch hohe Objekte können zudem gemäss Kallkulation nach untenstehender Tabelle berücksichtigt werden. (Abstände auf der Dachfläche in die entsprechende Himmelsrichtung)"</f>
        <v>Zum Dachrand, sowie um Dachaufbauten wie Fenster, Lukarnen, Kamine, Lüftungsrohre etc. dürfen Abstände von 0.2 m berücksichtigt werden. Die Verschattungsabstände durch hohe Objekte können zudem gemäss Kallkulation nach untenstehender Tabelle berücksichtigt werden. (Abstände auf der Dachfläche in die entsprechende Himmelsrichtung)</v>
      </c>
      <c r="C50" s="685"/>
      <c r="D50" s="685"/>
      <c r="E50" s="685"/>
      <c r="F50" s="685"/>
      <c r="G50" s="685"/>
      <c r="H50" s="685"/>
      <c r="I50" s="685"/>
      <c r="J50" s="685"/>
      <c r="K50" s="686"/>
    </row>
    <row r="51" spans="2:11" s="28" customFormat="1" ht="19.899999999999999" customHeight="1">
      <c r="B51" s="49"/>
      <c r="C51" s="50"/>
      <c r="D51" s="51"/>
      <c r="E51" s="84"/>
      <c r="F51" s="683" t="s">
        <v>87</v>
      </c>
      <c r="G51" s="683"/>
      <c r="H51" s="683"/>
      <c r="K51" s="86"/>
    </row>
    <row r="52" spans="2:11" s="28" customFormat="1" ht="19.899999999999999" customHeight="1">
      <c r="B52" s="49" t="s">
        <v>91</v>
      </c>
      <c r="C52" s="50" t="s">
        <v>20</v>
      </c>
      <c r="D52" s="51"/>
      <c r="E52" s="87" t="s">
        <v>114</v>
      </c>
      <c r="F52" s="85" t="s">
        <v>88</v>
      </c>
      <c r="G52" s="85" t="s">
        <v>89</v>
      </c>
      <c r="H52" s="85" t="s">
        <v>90</v>
      </c>
      <c r="K52" s="86"/>
    </row>
    <row r="53" spans="2:11" s="28" customFormat="1" ht="19.899999999999999" customHeight="1">
      <c r="B53" s="88" t="s">
        <v>92</v>
      </c>
      <c r="C53" s="89"/>
      <c r="D53" s="90"/>
      <c r="E53" s="91" t="s">
        <v>86</v>
      </c>
      <c r="F53" s="91" t="s">
        <v>86</v>
      </c>
      <c r="G53" s="91" t="s">
        <v>86</v>
      </c>
      <c r="H53" s="91" t="s">
        <v>86</v>
      </c>
      <c r="I53" s="92"/>
      <c r="J53" s="92"/>
      <c r="K53" s="93"/>
    </row>
    <row r="54" spans="2:11" s="28" customFormat="1" ht="19.899999999999999" customHeight="1">
      <c r="B54" s="94">
        <v>1</v>
      </c>
      <c r="C54" s="315"/>
      <c r="D54" s="315"/>
      <c r="E54" s="316"/>
      <c r="F54" s="95" t="str">
        <f t="shared" ref="F54:F65" si="2">IF(ISNUMBER($E54),$E54*IF($F$47&gt;0,MIN($F$46:$F$47),MAX($F$46:$F$47)),"")</f>
        <v/>
      </c>
      <c r="G54" s="95" t="str">
        <f t="shared" ref="G54:G65" si="3">IF(ISNUMBER($E54),$E54*IF($G$47&gt;0,MIN($G$46:$G$47),MAX($G$46:$G$47)),"")</f>
        <v/>
      </c>
      <c r="H54" s="95" t="str">
        <f t="shared" ref="H54:H65" si="4">IF(ISNUMBER($E54),$E54*IF($H$47&gt;0,MIN($H$46:$H$47),MAX($H$46:$H$47)),"")</f>
        <v/>
      </c>
      <c r="I54" s="73"/>
      <c r="J54" s="73"/>
      <c r="K54" s="74"/>
    </row>
    <row r="55" spans="2:11" s="28" customFormat="1" ht="19.899999999999999" customHeight="1">
      <c r="B55" s="96">
        <v>2</v>
      </c>
      <c r="C55" s="317"/>
      <c r="D55" s="317"/>
      <c r="E55" s="318"/>
      <c r="F55" s="97" t="str">
        <f t="shared" si="2"/>
        <v/>
      </c>
      <c r="G55" s="97" t="str">
        <f t="shared" si="3"/>
        <v/>
      </c>
      <c r="H55" s="97" t="str">
        <f t="shared" si="4"/>
        <v/>
      </c>
      <c r="I55" s="35"/>
      <c r="J55" s="35"/>
      <c r="K55" s="30"/>
    </row>
    <row r="56" spans="2:11" s="28" customFormat="1" ht="19.899999999999999" customHeight="1">
      <c r="B56" s="96">
        <v>3</v>
      </c>
      <c r="C56" s="317"/>
      <c r="D56" s="317"/>
      <c r="E56" s="318"/>
      <c r="F56" s="97" t="str">
        <f t="shared" si="2"/>
        <v/>
      </c>
      <c r="G56" s="97" t="str">
        <f t="shared" si="3"/>
        <v/>
      </c>
      <c r="H56" s="97" t="str">
        <f t="shared" si="4"/>
        <v/>
      </c>
      <c r="I56" s="35"/>
      <c r="J56" s="35"/>
      <c r="K56" s="30"/>
    </row>
    <row r="57" spans="2:11" s="28" customFormat="1" ht="19.899999999999999" customHeight="1">
      <c r="B57" s="96">
        <v>4</v>
      </c>
      <c r="C57" s="317"/>
      <c r="D57" s="317"/>
      <c r="E57" s="318"/>
      <c r="F57" s="97" t="str">
        <f t="shared" si="2"/>
        <v/>
      </c>
      <c r="G57" s="97" t="str">
        <f t="shared" si="3"/>
        <v/>
      </c>
      <c r="H57" s="97" t="str">
        <f t="shared" si="4"/>
        <v/>
      </c>
      <c r="I57" s="35"/>
      <c r="J57" s="35"/>
      <c r="K57" s="30"/>
    </row>
    <row r="58" spans="2:11" s="28" customFormat="1" ht="19.899999999999999" customHeight="1">
      <c r="B58" s="96">
        <v>5</v>
      </c>
      <c r="C58" s="317"/>
      <c r="D58" s="317"/>
      <c r="E58" s="318"/>
      <c r="F58" s="97" t="str">
        <f t="shared" si="2"/>
        <v/>
      </c>
      <c r="G58" s="97" t="str">
        <f t="shared" si="3"/>
        <v/>
      </c>
      <c r="H58" s="97" t="str">
        <f t="shared" si="4"/>
        <v/>
      </c>
      <c r="I58" s="35"/>
      <c r="J58" s="35"/>
      <c r="K58" s="30"/>
    </row>
    <row r="59" spans="2:11" s="28" customFormat="1" ht="19.899999999999999" customHeight="1">
      <c r="B59" s="96">
        <v>6</v>
      </c>
      <c r="C59" s="317"/>
      <c r="D59" s="317"/>
      <c r="E59" s="318"/>
      <c r="F59" s="97" t="str">
        <f t="shared" si="2"/>
        <v/>
      </c>
      <c r="G59" s="97" t="str">
        <f t="shared" si="3"/>
        <v/>
      </c>
      <c r="H59" s="97" t="str">
        <f t="shared" si="4"/>
        <v/>
      </c>
      <c r="I59" s="35"/>
      <c r="J59" s="35"/>
      <c r="K59" s="30"/>
    </row>
    <row r="60" spans="2:11" s="28" customFormat="1" ht="19.899999999999999" customHeight="1">
      <c r="B60" s="96">
        <v>7</v>
      </c>
      <c r="C60" s="317"/>
      <c r="D60" s="317"/>
      <c r="E60" s="318"/>
      <c r="F60" s="97" t="str">
        <f t="shared" si="2"/>
        <v/>
      </c>
      <c r="G60" s="97" t="str">
        <f t="shared" si="3"/>
        <v/>
      </c>
      <c r="H60" s="97" t="str">
        <f t="shared" si="4"/>
        <v/>
      </c>
      <c r="I60" s="35"/>
      <c r="J60" s="35"/>
      <c r="K60" s="30"/>
    </row>
    <row r="61" spans="2:11" s="28" customFormat="1" ht="19.899999999999999" customHeight="1">
      <c r="B61" s="96">
        <v>8</v>
      </c>
      <c r="C61" s="317"/>
      <c r="D61" s="317"/>
      <c r="E61" s="318"/>
      <c r="F61" s="97" t="str">
        <f t="shared" si="2"/>
        <v/>
      </c>
      <c r="G61" s="97" t="str">
        <f t="shared" si="3"/>
        <v/>
      </c>
      <c r="H61" s="97" t="str">
        <f t="shared" si="4"/>
        <v/>
      </c>
      <c r="I61" s="35"/>
      <c r="J61" s="35"/>
      <c r="K61" s="30"/>
    </row>
    <row r="62" spans="2:11" s="28" customFormat="1" ht="19.899999999999999" customHeight="1">
      <c r="B62" s="96">
        <v>9</v>
      </c>
      <c r="C62" s="317"/>
      <c r="D62" s="317"/>
      <c r="E62" s="318"/>
      <c r="F62" s="97" t="str">
        <f t="shared" si="2"/>
        <v/>
      </c>
      <c r="G62" s="97" t="str">
        <f t="shared" si="3"/>
        <v/>
      </c>
      <c r="H62" s="97" t="str">
        <f t="shared" si="4"/>
        <v/>
      </c>
      <c r="I62" s="35"/>
      <c r="J62" s="35"/>
      <c r="K62" s="30"/>
    </row>
    <row r="63" spans="2:11" s="28" customFormat="1" ht="19.899999999999999" customHeight="1">
      <c r="B63" s="96">
        <v>10</v>
      </c>
      <c r="C63" s="317"/>
      <c r="D63" s="317"/>
      <c r="E63" s="318"/>
      <c r="F63" s="29" t="str">
        <f t="shared" si="2"/>
        <v/>
      </c>
      <c r="G63" s="29" t="str">
        <f t="shared" si="3"/>
        <v/>
      </c>
      <c r="H63" s="29" t="str">
        <f t="shared" si="4"/>
        <v/>
      </c>
      <c r="I63" s="35"/>
      <c r="J63" s="35"/>
      <c r="K63" s="30"/>
    </row>
    <row r="64" spans="2:11" s="28" customFormat="1" ht="19.899999999999999" customHeight="1">
      <c r="B64" s="96">
        <v>11</v>
      </c>
      <c r="C64" s="317"/>
      <c r="D64" s="317"/>
      <c r="E64" s="318"/>
      <c r="F64" s="29" t="str">
        <f t="shared" si="2"/>
        <v/>
      </c>
      <c r="G64" s="29" t="str">
        <f t="shared" si="3"/>
        <v/>
      </c>
      <c r="H64" s="29" t="str">
        <f t="shared" si="4"/>
        <v/>
      </c>
      <c r="I64" s="35"/>
      <c r="J64" s="35"/>
      <c r="K64" s="30"/>
    </row>
    <row r="65" spans="2:11" s="28" customFormat="1" ht="19.899999999999999" customHeight="1" thickBot="1">
      <c r="B65" s="98">
        <v>12</v>
      </c>
      <c r="C65" s="319"/>
      <c r="D65" s="319"/>
      <c r="E65" s="320"/>
      <c r="F65" s="31" t="str">
        <f t="shared" si="2"/>
        <v/>
      </c>
      <c r="G65" s="31" t="str">
        <f t="shared" si="3"/>
        <v/>
      </c>
      <c r="H65" s="31" t="str">
        <f t="shared" si="4"/>
        <v/>
      </c>
      <c r="I65" s="37"/>
      <c r="J65" s="37"/>
      <c r="K65" s="32"/>
    </row>
    <row r="66" spans="2:11" ht="15"/>
    <row r="67" spans="2:11" ht="15" hidden="1"/>
    <row r="68" spans="2:11" ht="14.45" customHeight="1"/>
  </sheetData>
  <sheetProtection algorithmName="SHA-512" hashValue="8gtA2ED4QB4b+t11Gx+8hawVmqwwOubkLIQOPvtAWKZZ3lELjHlSdiYkzFWoe1hJvcdKQF6wyJVMdrS4yel6BA==" saltValue="rZ1rQs8Paggaem8+UHWo+A==" spinCount="100000" sheet="1" objects="1" scenarios="1" selectLockedCells="1" autoFilter="0"/>
  <mergeCells count="17">
    <mergeCell ref="E2:J4"/>
    <mergeCell ref="E11:F11"/>
    <mergeCell ref="B9:C9"/>
    <mergeCell ref="E9:F9"/>
    <mergeCell ref="H9:J9"/>
    <mergeCell ref="B10:C10"/>
    <mergeCell ref="E10:F10"/>
    <mergeCell ref="H10:J10"/>
    <mergeCell ref="H11:J11"/>
    <mergeCell ref="B11:C11"/>
    <mergeCell ref="B50:K50"/>
    <mergeCell ref="F51:H51"/>
    <mergeCell ref="B12:C12"/>
    <mergeCell ref="E12:F12"/>
    <mergeCell ref="E15:F15"/>
    <mergeCell ref="E24:F24"/>
    <mergeCell ref="B16:C16"/>
  </mergeCells>
  <dataValidations count="1">
    <dataValidation type="list" allowBlank="1" showInputMessage="1" showErrorMessage="1" sqref="E24" xr:uid="{00000000-0002-0000-0500-000000000000}">
      <formula1>$G$24:$H$24</formula1>
    </dataValidation>
  </dataValidations>
  <pageMargins left="0.7" right="0.7" top="0.78740157499999996" bottom="0.78740157499999996" header="0.3" footer="0.3"/>
  <pageSetup paperSize="9" scale="64" orientation="portrait" r:id="rId1"/>
  <colBreaks count="1" manualBreakCount="1">
    <brk id="12"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S68"/>
  <sheetViews>
    <sheetView topLeftCell="A5" workbookViewId="0">
      <selection activeCell="E34" sqref="E34"/>
    </sheetView>
  </sheetViews>
  <sheetFormatPr baseColWidth="10" defaultColWidth="0" defaultRowHeight="14.45" customHeight="1" zeroHeight="1"/>
  <cols>
    <col min="1" max="1" width="4.7109375" customWidth="1"/>
    <col min="2" max="2" width="8.28515625" customWidth="1"/>
    <col min="3" max="3" width="24.85546875" customWidth="1"/>
    <col min="4" max="4" width="7.85546875" style="23" hidden="1" customWidth="1"/>
    <col min="5" max="5" width="12.28515625" customWidth="1"/>
    <col min="6" max="8" width="14.42578125" customWidth="1"/>
    <col min="9" max="10" width="11.42578125" customWidth="1"/>
    <col min="11" max="11" width="12.7109375" bestFit="1" customWidth="1"/>
    <col min="12" max="12" width="5.28515625" customWidth="1"/>
    <col min="13" max="16384" width="11.42578125" hidden="1"/>
  </cols>
  <sheetData>
    <row r="1" spans="1:19" ht="15.75" thickBot="1">
      <c r="A1" s="27" t="str">
        <f ca="1">MID(CELL("dateiname",A1),SEARCH("]",CELL("dateiname",A1))+1,31)</f>
        <v>TF (4)</v>
      </c>
    </row>
    <row r="2" spans="1:19" ht="15" customHeight="1">
      <c r="B2" s="389"/>
      <c r="C2" s="390"/>
      <c r="D2" s="390"/>
      <c r="E2" s="666" t="str">
        <f>_Dok_Titel</f>
        <v>Planungshilfe
Solar- und Photovoltaikanlagen auf Schrägdächern (Art. 77 Abs. 3 und 4 BZR)
Formular-Release 2.5</v>
      </c>
      <c r="F2" s="666"/>
      <c r="G2" s="666"/>
      <c r="H2" s="666"/>
      <c r="I2" s="666"/>
      <c r="J2" s="666"/>
      <c r="K2" s="391"/>
    </row>
    <row r="3" spans="1:19" ht="15" customHeight="1">
      <c r="B3" s="392"/>
      <c r="C3" s="393"/>
      <c r="D3" s="393"/>
      <c r="E3" s="667"/>
      <c r="F3" s="667"/>
      <c r="G3" s="667"/>
      <c r="H3" s="667"/>
      <c r="I3" s="667"/>
      <c r="J3" s="667"/>
      <c r="K3" s="394"/>
    </row>
    <row r="4" spans="1:19" ht="34.15" customHeight="1" thickBot="1">
      <c r="B4" s="395"/>
      <c r="C4" s="396"/>
      <c r="D4" s="396"/>
      <c r="E4" s="668"/>
      <c r="F4" s="668"/>
      <c r="G4" s="668"/>
      <c r="H4" s="668"/>
      <c r="I4" s="668"/>
      <c r="J4" s="668"/>
      <c r="K4" s="397"/>
    </row>
    <row r="5" spans="1:19" ht="15.75" thickBot="1"/>
    <row r="6" spans="1:19" s="21" customFormat="1" ht="21.75" thickBot="1">
      <c r="B6" s="18" t="str">
        <f ca="1">"Zusammenstellung Kennwerte Teilfläche "&amp;MID(CELL("dateiname",A1),SEARCH("]",CELL("dateiname",A1))+1,31)</f>
        <v>Zusammenstellung Kennwerte Teilfläche TF (4)</v>
      </c>
      <c r="C6" s="19"/>
      <c r="D6" s="48"/>
      <c r="E6" s="19"/>
      <c r="F6" s="19"/>
      <c r="G6" s="19"/>
      <c r="H6" s="19"/>
      <c r="I6" s="19"/>
      <c r="J6" s="19"/>
      <c r="K6" s="20"/>
      <c r="O6"/>
      <c r="P6"/>
      <c r="Q6"/>
      <c r="R6"/>
      <c r="S6"/>
    </row>
    <row r="7" spans="1:19" ht="15.75" thickBot="1"/>
    <row r="8" spans="1:19" s="21" customFormat="1" ht="21.75" thickBot="1">
      <c r="B8" s="18" t="s">
        <v>26</v>
      </c>
      <c r="C8" s="19"/>
      <c r="D8" s="48"/>
      <c r="E8" s="19"/>
      <c r="F8" s="19"/>
      <c r="G8" s="19"/>
      <c r="H8" s="19"/>
      <c r="I8" s="19"/>
      <c r="J8" s="19"/>
      <c r="K8" s="20"/>
      <c r="O8"/>
      <c r="P8"/>
      <c r="Q8"/>
      <c r="R8"/>
      <c r="S8"/>
    </row>
    <row r="9" spans="1:19" s="28" customFormat="1" ht="19.899999999999999" customHeight="1">
      <c r="B9" s="551" t="str">
        <f>Bericht!B7</f>
        <v>Projektname</v>
      </c>
      <c r="C9" s="552"/>
      <c r="D9" s="415"/>
      <c r="E9" s="669">
        <f>_Projektname</f>
        <v>0</v>
      </c>
      <c r="F9" s="669"/>
      <c r="G9" s="426"/>
      <c r="H9" s="649" t="str">
        <f>Bericht!J7</f>
        <v>Netzversorger:</v>
      </c>
      <c r="I9" s="649"/>
      <c r="J9" s="649"/>
      <c r="K9" s="138" t="str">
        <f>_Netzversorger</f>
        <v>ckw</v>
      </c>
    </row>
    <row r="10" spans="1:19" s="28" customFormat="1" ht="19.899999999999999" customHeight="1">
      <c r="B10" s="553" t="str">
        <f>Bericht!B8</f>
        <v>Adresse</v>
      </c>
      <c r="C10" s="554"/>
      <c r="D10" s="416"/>
      <c r="E10" s="670">
        <f>_Adresse</f>
        <v>0</v>
      </c>
      <c r="F10" s="670"/>
      <c r="G10" s="427"/>
      <c r="H10" s="650" t="str">
        <f>Bericht!J8</f>
        <v>Geplantes Datum Fertigstellung:</v>
      </c>
      <c r="I10" s="650"/>
      <c r="J10" s="650"/>
      <c r="K10" s="139">
        <f>_Datum_IBS</f>
        <v>0</v>
      </c>
      <c r="L10" s="410"/>
    </row>
    <row r="11" spans="1:19" s="28" customFormat="1" ht="19.899999999999999" customHeight="1">
      <c r="B11" s="553" t="str">
        <f>Bericht!B9</f>
        <v>PLZ Ort</v>
      </c>
      <c r="C11" s="554"/>
      <c r="D11" s="416"/>
      <c r="E11" s="670">
        <f>_PLZ</f>
        <v>0</v>
      </c>
      <c r="F11" s="670"/>
      <c r="G11" s="427"/>
      <c r="H11" s="650" t="s">
        <v>277</v>
      </c>
      <c r="I11" s="650"/>
      <c r="J11" s="650"/>
      <c r="K11" s="409">
        <f>_Letzte_REV</f>
        <v>46042</v>
      </c>
      <c r="L11" s="411"/>
    </row>
    <row r="12" spans="1:19" s="28" customFormat="1" ht="19.899999999999999" customHeight="1" thickBot="1">
      <c r="B12" s="680" t="s">
        <v>138</v>
      </c>
      <c r="C12" s="681"/>
      <c r="D12" s="31"/>
      <c r="E12" s="556">
        <f>Bericht!D10</f>
        <v>0</v>
      </c>
      <c r="F12" s="556"/>
      <c r="G12" s="428"/>
      <c r="H12" s="31" t="s">
        <v>278</v>
      </c>
      <c r="I12" s="31"/>
      <c r="J12" s="31"/>
      <c r="K12" s="358">
        <f>_Nächste_REV</f>
        <v>46357</v>
      </c>
      <c r="L12" s="411"/>
    </row>
    <row r="13" spans="1:19" ht="15.75" thickBot="1"/>
    <row r="14" spans="1:19" s="21" customFormat="1" ht="21.75" thickBot="1">
      <c r="B14" s="18" t="s">
        <v>75</v>
      </c>
      <c r="C14" s="19"/>
      <c r="D14" s="48"/>
      <c r="E14" s="19"/>
      <c r="F14" s="19"/>
      <c r="G14" s="19"/>
      <c r="H14" s="19"/>
      <c r="I14" s="19"/>
      <c r="J14" s="19"/>
      <c r="K14" s="20"/>
      <c r="O14"/>
      <c r="P14"/>
      <c r="Q14"/>
      <c r="R14"/>
      <c r="S14"/>
    </row>
    <row r="15" spans="1:19" s="28" customFormat="1" ht="19.899999999999999" customHeight="1">
      <c r="B15" s="40" t="s">
        <v>93</v>
      </c>
      <c r="C15" s="41"/>
      <c r="D15" s="42" t="s">
        <v>155</v>
      </c>
      <c r="E15" s="679"/>
      <c r="F15" s="679"/>
      <c r="G15" s="41"/>
      <c r="H15" s="41"/>
      <c r="I15" s="41"/>
      <c r="J15" s="41"/>
      <c r="K15" s="39"/>
    </row>
    <row r="16" spans="1:19" s="28" customFormat="1" ht="19.899999999999999" customHeight="1">
      <c r="B16" s="682" t="s">
        <v>355</v>
      </c>
      <c r="C16" s="616"/>
      <c r="D16" s="66" t="s">
        <v>366</v>
      </c>
      <c r="E16" s="489" t="s">
        <v>358</v>
      </c>
      <c r="F16" s="29"/>
      <c r="G16" s="73" t="s">
        <v>356</v>
      </c>
      <c r="H16" s="73"/>
      <c r="I16" s="73"/>
      <c r="J16" s="73"/>
      <c r="K16" s="74"/>
      <c r="M16" s="28" t="s">
        <v>357</v>
      </c>
    </row>
    <row r="17" spans="2:19" s="28" customFormat="1" ht="19.899999999999999" customHeight="1">
      <c r="B17" s="72" t="s">
        <v>96</v>
      </c>
      <c r="C17" s="73"/>
      <c r="D17" s="66" t="s">
        <v>129</v>
      </c>
      <c r="E17" s="270"/>
      <c r="F17" s="65" t="s">
        <v>127</v>
      </c>
      <c r="G17" s="73" t="s">
        <v>234</v>
      </c>
      <c r="H17" s="73"/>
      <c r="I17" s="73"/>
      <c r="J17" s="73"/>
      <c r="K17" s="74"/>
      <c r="M17" s="28" t="s">
        <v>358</v>
      </c>
    </row>
    <row r="18" spans="2:19" s="28" customFormat="1" ht="19.899999999999999" customHeight="1">
      <c r="B18" s="33" t="s">
        <v>94</v>
      </c>
      <c r="C18" s="35"/>
      <c r="D18" s="34" t="s">
        <v>37</v>
      </c>
      <c r="E18" s="271"/>
      <c r="F18" s="29" t="s">
        <v>54</v>
      </c>
      <c r="G18" s="35" t="s">
        <v>67</v>
      </c>
      <c r="H18" s="35"/>
      <c r="I18" s="35"/>
      <c r="J18" s="35"/>
      <c r="K18" s="30"/>
    </row>
    <row r="19" spans="2:19" s="28" customFormat="1" ht="19.899999999999999" customHeight="1" thickBot="1">
      <c r="B19" s="36" t="s">
        <v>95</v>
      </c>
      <c r="C19" s="37"/>
      <c r="D19" s="71" t="s">
        <v>38</v>
      </c>
      <c r="E19" s="272"/>
      <c r="F19" s="31" t="s">
        <v>54</v>
      </c>
      <c r="G19" s="37" t="s">
        <v>68</v>
      </c>
      <c r="H19" s="37"/>
      <c r="I19" s="37"/>
      <c r="J19" s="37"/>
      <c r="K19" s="32"/>
    </row>
    <row r="20" spans="2:19" s="23" customFormat="1" ht="15" hidden="1" customHeight="1">
      <c r="C20" s="23" t="s">
        <v>74</v>
      </c>
      <c r="E20" s="23">
        <f>RADIANS(E18)</f>
        <v>0</v>
      </c>
    </row>
    <row r="21" spans="2:19" s="23" customFormat="1" ht="15" hidden="1">
      <c r="C21" s="23" t="s">
        <v>71</v>
      </c>
      <c r="E21" s="23">
        <f>-RADIANS(E19)</f>
        <v>0</v>
      </c>
    </row>
    <row r="22" spans="2:19" ht="15.75" thickBot="1"/>
    <row r="23" spans="2:19" s="21" customFormat="1" ht="21.75" thickBot="1">
      <c r="B23" s="18" t="s">
        <v>50</v>
      </c>
      <c r="C23" s="19"/>
      <c r="D23" s="48"/>
      <c r="E23" s="19"/>
      <c r="F23" s="19"/>
      <c r="G23" s="19"/>
      <c r="H23" s="19"/>
      <c r="I23" s="19"/>
      <c r="J23" s="19"/>
      <c r="K23" s="20"/>
      <c r="O23"/>
      <c r="P23"/>
      <c r="Q23"/>
      <c r="R23"/>
      <c r="S23"/>
    </row>
    <row r="24" spans="2:19" s="28" customFormat="1" ht="19.899999999999999" customHeight="1">
      <c r="B24" s="40" t="s">
        <v>51</v>
      </c>
      <c r="C24" s="41"/>
      <c r="D24" s="42" t="s">
        <v>76</v>
      </c>
      <c r="E24" s="687" t="s">
        <v>105</v>
      </c>
      <c r="F24" s="687"/>
      <c r="G24" s="41" t="s">
        <v>104</v>
      </c>
      <c r="H24" s="41" t="s">
        <v>105</v>
      </c>
      <c r="I24" s="41"/>
      <c r="J24" s="41"/>
      <c r="K24" s="39"/>
    </row>
    <row r="25" spans="2:19" s="28" customFormat="1" ht="19.899999999999999" customHeight="1">
      <c r="B25" s="72" t="s">
        <v>229</v>
      </c>
      <c r="C25" s="73"/>
      <c r="D25" s="66" t="s">
        <v>235</v>
      </c>
      <c r="E25" s="485" t="str">
        <f>IF((ABS($E18)+_AbweichungNord)&gt;180,"Satiniert","Standard")</f>
        <v>Standard</v>
      </c>
      <c r="F25" s="485"/>
      <c r="G25" s="73"/>
      <c r="H25" s="73"/>
      <c r="I25" s="73"/>
      <c r="J25" s="73"/>
      <c r="K25" s="74"/>
    </row>
    <row r="26" spans="2:19" s="28" customFormat="1" ht="19.899999999999999" customHeight="1">
      <c r="B26" s="33" t="s">
        <v>49</v>
      </c>
      <c r="C26" s="35"/>
      <c r="D26" s="34" t="s">
        <v>40</v>
      </c>
      <c r="E26" s="29">
        <f>IF((ABS($E18)+_AbweichungNord)&gt;180,_Modulleistung_Satin,_Modulleistung_Standard)</f>
        <v>485</v>
      </c>
      <c r="F26" s="29" t="s">
        <v>58</v>
      </c>
      <c r="G26" s="35" t="str">
        <f ca="1">"Modulleistung definiert im Tab "&amp;Datengrundlage!A1&amp;""</f>
        <v>Modulleistung definiert im Tab Datengrundlage</v>
      </c>
      <c r="H26" s="35"/>
      <c r="I26" s="35"/>
      <c r="J26" s="35"/>
      <c r="K26" s="30"/>
    </row>
    <row r="27" spans="2:19" s="28" customFormat="1" ht="19.899999999999999" customHeight="1">
      <c r="B27" s="33" t="s">
        <v>196</v>
      </c>
      <c r="C27" s="35"/>
      <c r="D27" s="34" t="s">
        <v>97</v>
      </c>
      <c r="E27" s="273"/>
      <c r="F27" s="29" t="s">
        <v>99</v>
      </c>
      <c r="G27" s="35" t="s">
        <v>202</v>
      </c>
      <c r="H27" s="35"/>
      <c r="I27" s="35"/>
      <c r="J27" s="35"/>
      <c r="K27" s="30"/>
    </row>
    <row r="28" spans="2:19" s="28" customFormat="1" ht="19.899999999999999" customHeight="1" thickBot="1">
      <c r="B28" s="36" t="s">
        <v>195</v>
      </c>
      <c r="C28" s="37"/>
      <c r="D28" s="71" t="s">
        <v>154</v>
      </c>
      <c r="E28" s="313">
        <f>E27</f>
        <v>0</v>
      </c>
      <c r="F28" s="31" t="s">
        <v>99</v>
      </c>
      <c r="G28" s="37" t="s">
        <v>203</v>
      </c>
      <c r="H28" s="37"/>
      <c r="I28" s="37"/>
      <c r="J28" s="37"/>
      <c r="K28" s="32"/>
    </row>
    <row r="29" spans="2:19" ht="15.75" thickBot="1"/>
    <row r="30" spans="2:19" s="21" customFormat="1" ht="21.75" thickBot="1">
      <c r="B30" s="18" t="s">
        <v>281</v>
      </c>
      <c r="C30" s="19"/>
      <c r="D30" s="48"/>
      <c r="E30" s="19"/>
      <c r="F30" s="19"/>
      <c r="G30" s="19"/>
      <c r="H30" s="19"/>
      <c r="I30" s="19"/>
      <c r="J30" s="19"/>
      <c r="K30" s="20"/>
      <c r="O30"/>
      <c r="P30"/>
      <c r="Q30"/>
      <c r="R30"/>
      <c r="S30"/>
    </row>
    <row r="31" spans="2:19" s="28" customFormat="1" ht="19.899999999999999" customHeight="1">
      <c r="B31" s="40" t="s">
        <v>120</v>
      </c>
      <c r="C31" s="41"/>
      <c r="D31" s="42"/>
      <c r="E31" s="76">
        <f>_Spez_Ertrag_Standort</f>
        <v>900</v>
      </c>
      <c r="F31" s="75" t="s">
        <v>123</v>
      </c>
      <c r="G31" s="41" t="str">
        <f>"Spez. Ertrag am Standort"</f>
        <v>Spez. Ertrag am Standort</v>
      </c>
      <c r="H31" s="41"/>
      <c r="I31" s="41"/>
      <c r="J31" s="41"/>
      <c r="K31" s="39"/>
    </row>
    <row r="32" spans="2:19" s="28" customFormat="1" ht="19.899999999999999" customHeight="1">
      <c r="B32" s="33" t="s">
        <v>119</v>
      </c>
      <c r="C32" s="35"/>
      <c r="D32" s="34"/>
      <c r="E32" s="77" cm="1">
        <f t="array" ref="E32">INDEX(_Faktor_Ausrichtung,ROUND(((E19/_RasterNeigung))+1,0),ROUND((((E18)/_RasterAzimut))+180/_RasterAzimut+1,0),1)</f>
        <v>1</v>
      </c>
      <c r="F32" s="29"/>
      <c r="G32" s="35" t="s">
        <v>115</v>
      </c>
      <c r="H32" s="35"/>
      <c r="I32" s="35"/>
      <c r="J32" s="35"/>
      <c r="K32" s="30"/>
    </row>
    <row r="33" spans="2:19" s="44" customFormat="1" ht="19.899999999999999" hidden="1" customHeight="1">
      <c r="B33" s="43" t="s">
        <v>121</v>
      </c>
      <c r="C33" s="34"/>
      <c r="D33" s="34"/>
      <c r="E33" s="47">
        <f>E31*E32</f>
        <v>900</v>
      </c>
      <c r="F33" s="45" t="s">
        <v>123</v>
      </c>
      <c r="G33" s="34" t="s">
        <v>116</v>
      </c>
      <c r="H33" s="34"/>
      <c r="I33" s="34"/>
      <c r="J33" s="34"/>
      <c r="K33" s="46"/>
    </row>
    <row r="34" spans="2:19" s="28" customFormat="1" ht="19.899999999999999" customHeight="1">
      <c r="B34" s="33" t="s">
        <v>148</v>
      </c>
      <c r="C34" s="35"/>
      <c r="D34" s="34" t="s">
        <v>151</v>
      </c>
      <c r="E34" s="314"/>
      <c r="F34" s="29" t="s">
        <v>123</v>
      </c>
      <c r="G34" s="35" t="s">
        <v>117</v>
      </c>
      <c r="H34" s="35"/>
      <c r="I34" s="35"/>
      <c r="J34" s="35"/>
      <c r="K34" s="30"/>
    </row>
    <row r="35" spans="2:19" s="28" customFormat="1" ht="19.899999999999999" customHeight="1" thickBot="1">
      <c r="B35" s="36" t="s">
        <v>122</v>
      </c>
      <c r="C35" s="37"/>
      <c r="D35" s="71" t="s">
        <v>77</v>
      </c>
      <c r="E35" s="78">
        <f>IF(ISNUMBER(E34),E34,E33)</f>
        <v>900</v>
      </c>
      <c r="F35" s="31" t="s">
        <v>123</v>
      </c>
      <c r="G35" s="37" t="s">
        <v>118</v>
      </c>
      <c r="H35" s="37"/>
      <c r="I35" s="37"/>
      <c r="J35" s="37"/>
      <c r="K35" s="32"/>
    </row>
    <row r="36" spans="2:19" ht="15.75" thickBot="1"/>
    <row r="37" spans="2:19" s="21" customFormat="1" ht="21.75" thickBot="1">
      <c r="B37" s="18" t="s">
        <v>350</v>
      </c>
      <c r="C37" s="19"/>
      <c r="D37" s="48"/>
      <c r="E37" s="19"/>
      <c r="F37" s="19"/>
      <c r="G37" s="19"/>
      <c r="H37" s="19"/>
      <c r="I37" s="19"/>
      <c r="J37" s="19"/>
      <c r="K37" s="20"/>
      <c r="O37"/>
      <c r="P37"/>
      <c r="Q37"/>
      <c r="R37"/>
      <c r="S37"/>
    </row>
    <row r="38" spans="2:19" s="28" customFormat="1" ht="19.899999999999999" customHeight="1">
      <c r="B38" s="40" t="s">
        <v>351</v>
      </c>
      <c r="C38" s="41"/>
      <c r="D38" s="42" t="s">
        <v>365</v>
      </c>
      <c r="E38" s="76">
        <f>IF(AND(E19&gt;=_Neigungswinkel_für_NB_Bund,E19&lt;=90),E27*E26/1000*_Neigungswinkelbonus_Bund,0)</f>
        <v>0</v>
      </c>
      <c r="F38" s="483" t="s">
        <v>353</v>
      </c>
      <c r="G38" s="41"/>
      <c r="H38" s="76">
        <f>IF(AND(E19&gt;=_Neigungswinkel_für_NB_Bund,E19&lt;=90),E28*E26/1000*_Neigungswinkelbonus_Bund,0)</f>
        <v>0</v>
      </c>
      <c r="I38" s="41" t="s">
        <v>354</v>
      </c>
      <c r="J38" s="41"/>
      <c r="K38" s="39"/>
    </row>
    <row r="39" spans="2:19" s="28" customFormat="1" ht="19.899999999999999" customHeight="1">
      <c r="B39" s="33" t="s">
        <v>359</v>
      </c>
      <c r="C39" s="35"/>
      <c r="D39" s="34" t="s">
        <v>364</v>
      </c>
      <c r="E39" s="482">
        <f>IFERROR(IF(AND(E16=M16,E27*E26/1000&gt;=_Schwelle_PPBonus),E27*E26/1000*_Parkplatzbonus_pronovo,0),0)</f>
        <v>0</v>
      </c>
      <c r="F39" s="29" t="s">
        <v>353</v>
      </c>
      <c r="G39" s="35"/>
      <c r="H39" s="482">
        <f>IFERROR(IF(AND(E16=M16,E28*E26/1000&gt;=_Schwelle_PPBonus),E28*E26/1000*_Parkplatzbonus_pronovo,0),0)</f>
        <v>0</v>
      </c>
      <c r="I39" s="35" t="s">
        <v>354</v>
      </c>
      <c r="J39" s="35"/>
      <c r="K39" s="30"/>
    </row>
    <row r="40" spans="2:19" s="28" customFormat="1" ht="19.899999999999999" customHeight="1">
      <c r="B40" s="33" t="s">
        <v>352</v>
      </c>
      <c r="C40" s="35"/>
      <c r="D40" s="34" t="s">
        <v>362</v>
      </c>
      <c r="E40" s="482">
        <f>IFERROR(IF(AND(E19&gt;=_Neigungswinkel_für_NB_Bund,E19&lt;=90),E27*_Modullänge_Standard*_Modulbreite_Standard*_ZuschlagSteil_Stadt,0),0)</f>
        <v>0</v>
      </c>
      <c r="F40" s="29" t="s">
        <v>353</v>
      </c>
      <c r="G40" s="35"/>
      <c r="H40" s="482">
        <f>IFERROR(IF(AND(E19&gt;=_Neigungswinkel_für_NB_Bund,E19&lt;=90),E28*_Modullänge_Standard*_Modulbreite_Standard*_ZuschlagSteil_Stadt,0),0)</f>
        <v>0</v>
      </c>
      <c r="I40" s="35" t="s">
        <v>354</v>
      </c>
      <c r="J40" s="35"/>
      <c r="K40" s="30"/>
    </row>
    <row r="41" spans="2:19" s="28" customFormat="1" ht="19.899999999999999" customHeight="1" thickBot="1">
      <c r="B41" s="36" t="s">
        <v>337</v>
      </c>
      <c r="C41" s="37"/>
      <c r="D41" s="71" t="s">
        <v>363</v>
      </c>
      <c r="E41" s="78">
        <f>IF(AND((ABS($E18)+_AbweichungNord)&gt;=180,E19&lt;_Neigungswinkel_für_NB_Bund),E27*E26/1000*_ZuschlagNord_Stadt,0)</f>
        <v>0</v>
      </c>
      <c r="F41" s="31" t="s">
        <v>353</v>
      </c>
      <c r="G41" s="37"/>
      <c r="H41" s="78">
        <f>IF(AND((ABS($E18)+_AbweichungNord)&gt;=180,E19&lt;_Neigungswinkel_für_NB_Bund),E28*E26/1000*_ZuschlagNord_Stadt,0)</f>
        <v>0</v>
      </c>
      <c r="I41" s="37" t="s">
        <v>354</v>
      </c>
      <c r="J41" s="37"/>
      <c r="K41" s="32"/>
    </row>
    <row r="42" spans="2:19" ht="15.75" thickBot="1"/>
    <row r="43" spans="2:19" s="21" customFormat="1" ht="21.75" thickBot="1">
      <c r="B43" s="18" t="s">
        <v>189</v>
      </c>
      <c r="C43" s="19"/>
      <c r="D43" s="48"/>
      <c r="E43" s="19"/>
      <c r="F43" s="19"/>
      <c r="G43" s="19"/>
      <c r="H43" s="19"/>
      <c r="I43" s="19"/>
      <c r="J43" s="19"/>
      <c r="K43" s="20"/>
      <c r="O43"/>
      <c r="P43"/>
      <c r="Q43"/>
      <c r="R43"/>
      <c r="S43"/>
    </row>
    <row r="44" spans="2:19" s="23" customFormat="1" ht="15" hidden="1">
      <c r="B44" s="79"/>
      <c r="D44" s="23" t="s">
        <v>84</v>
      </c>
      <c r="F44" s="23">
        <v>-90</v>
      </c>
      <c r="G44" s="23">
        <v>-180</v>
      </c>
      <c r="H44" s="23">
        <v>90</v>
      </c>
      <c r="K44" s="80"/>
    </row>
    <row r="45" spans="2:19" s="23" customFormat="1" ht="15" hidden="1">
      <c r="B45" s="79"/>
      <c r="D45" s="23" t="s">
        <v>69</v>
      </c>
      <c r="F45" s="81">
        <f>RADIANS(F44)</f>
        <v>-1.5707963267948966</v>
      </c>
      <c r="G45" s="81">
        <f t="shared" ref="G45:H45" si="0">RADIANS(G44)</f>
        <v>-3.1415926535897931</v>
      </c>
      <c r="H45" s="81">
        <f t="shared" si="0"/>
        <v>1.5707963267948966</v>
      </c>
      <c r="K45" s="80"/>
    </row>
    <row r="46" spans="2:19" s="23" customFormat="1" ht="15" hidden="1">
      <c r="B46" s="79"/>
      <c r="D46" s="23" t="s">
        <v>70</v>
      </c>
      <c r="F46" s="23">
        <v>1</v>
      </c>
      <c r="G46" s="23">
        <v>3</v>
      </c>
      <c r="H46" s="23">
        <v>1</v>
      </c>
      <c r="K46" s="80"/>
    </row>
    <row r="47" spans="2:19" s="23" customFormat="1" ht="15" hidden="1">
      <c r="B47" s="79"/>
      <c r="D47" s="23" t="s">
        <v>85</v>
      </c>
      <c r="F47" s="82">
        <f>$F$46*SIN(ATAN(1/$F$46))/SIN(ASIN(SIN($E$21)*COS($F$45-PI()+$E$20))+ATAN(1/$F$46))</f>
        <v>1</v>
      </c>
      <c r="G47" s="82">
        <f>$G$46*SIN(ATAN(1/$G$46))/SIN(ASIN(SIN(-$E$21)*COS($G$45-PI()+$E$20))+ATAN(1/$G$46))</f>
        <v>3</v>
      </c>
      <c r="H47" s="82">
        <f>$H$46*SIN(ATAN(1/$H$46))/SIN(ASIN(SIN($E$21)*COS($H$45-PI()+$E$20))+ATAN(1/$H$46))</f>
        <v>1</v>
      </c>
      <c r="K47" s="80"/>
    </row>
    <row r="48" spans="2:19" s="23" customFormat="1" ht="15" hidden="1">
      <c r="B48" s="79"/>
      <c r="D48" s="23" t="s">
        <v>72</v>
      </c>
      <c r="F48" s="81">
        <f>ASIN(SIN($E$21)*COS(F45-$E$20))</f>
        <v>0</v>
      </c>
      <c r="G48" s="81">
        <f>ASIN(SIN($E$21)*COS(G45-$E$20))</f>
        <v>0</v>
      </c>
      <c r="H48" s="81">
        <f>ASIN(SIN($E$21)*COS(H45-$E$20))</f>
        <v>0</v>
      </c>
      <c r="K48" s="80"/>
    </row>
    <row r="49" spans="2:11" s="23" customFormat="1" ht="15" hidden="1">
      <c r="B49" s="79"/>
      <c r="D49" s="23" t="s">
        <v>73</v>
      </c>
      <c r="F49" s="83">
        <f>F48*180/PI()</f>
        <v>0</v>
      </c>
      <c r="G49" s="83">
        <f t="shared" ref="G49:H49" si="1">G48*180/PI()</f>
        <v>0</v>
      </c>
      <c r="H49" s="83">
        <f t="shared" si="1"/>
        <v>0</v>
      </c>
      <c r="K49" s="80"/>
    </row>
    <row r="50" spans="2:11" s="262" customFormat="1" ht="59.45" customHeight="1">
      <c r="B50" s="684" t="str">
        <f>"Zum Dachrand, sowie um Dachaufbauten wie Fenster, Lukarnen, Kamine, Lüftungsrohre etc. dürfen Abstände von "&amp;_Modul_Randabstand&amp;" m berücksichtigt werden. Die Verschattungsabstände durch hohe Objekte können zudem gemäss Kallkulation nach untenstehender Tabelle berücksichtigt werden. (Abstände auf der Dachfläche in die entsprechende Himmelsrichtung)"</f>
        <v>Zum Dachrand, sowie um Dachaufbauten wie Fenster, Lukarnen, Kamine, Lüftungsrohre etc. dürfen Abstände von 0.2 m berücksichtigt werden. Die Verschattungsabstände durch hohe Objekte können zudem gemäss Kallkulation nach untenstehender Tabelle berücksichtigt werden. (Abstände auf der Dachfläche in die entsprechende Himmelsrichtung)</v>
      </c>
      <c r="C50" s="685"/>
      <c r="D50" s="685"/>
      <c r="E50" s="685"/>
      <c r="F50" s="685"/>
      <c r="G50" s="685"/>
      <c r="H50" s="685"/>
      <c r="I50" s="685"/>
      <c r="J50" s="685"/>
      <c r="K50" s="686"/>
    </row>
    <row r="51" spans="2:11" s="28" customFormat="1" ht="19.899999999999999" customHeight="1">
      <c r="B51" s="49"/>
      <c r="C51" s="50"/>
      <c r="D51" s="51"/>
      <c r="E51" s="84"/>
      <c r="F51" s="683" t="s">
        <v>87</v>
      </c>
      <c r="G51" s="683"/>
      <c r="H51" s="683"/>
      <c r="K51" s="86"/>
    </row>
    <row r="52" spans="2:11" s="28" customFormat="1" ht="19.899999999999999" customHeight="1">
      <c r="B52" s="49" t="s">
        <v>91</v>
      </c>
      <c r="C52" s="50" t="s">
        <v>20</v>
      </c>
      <c r="D52" s="51"/>
      <c r="E52" s="87" t="s">
        <v>114</v>
      </c>
      <c r="F52" s="85" t="s">
        <v>88</v>
      </c>
      <c r="G52" s="85" t="s">
        <v>89</v>
      </c>
      <c r="H52" s="85" t="s">
        <v>90</v>
      </c>
      <c r="K52" s="86"/>
    </row>
    <row r="53" spans="2:11" s="28" customFormat="1" ht="19.899999999999999" customHeight="1">
      <c r="B53" s="88" t="s">
        <v>92</v>
      </c>
      <c r="C53" s="89"/>
      <c r="D53" s="90"/>
      <c r="E53" s="91" t="s">
        <v>86</v>
      </c>
      <c r="F53" s="91" t="s">
        <v>86</v>
      </c>
      <c r="G53" s="91" t="s">
        <v>86</v>
      </c>
      <c r="H53" s="91" t="s">
        <v>86</v>
      </c>
      <c r="I53" s="92"/>
      <c r="J53" s="92"/>
      <c r="K53" s="93"/>
    </row>
    <row r="54" spans="2:11" s="28" customFormat="1" ht="19.899999999999999" customHeight="1">
      <c r="B54" s="94">
        <v>1</v>
      </c>
      <c r="C54" s="315"/>
      <c r="D54" s="315"/>
      <c r="E54" s="316"/>
      <c r="F54" s="95" t="str">
        <f t="shared" ref="F54:F65" si="2">IF(ISNUMBER($E54),$E54*IF($F$47&gt;0,MIN($F$46:$F$47),MAX($F$46:$F$47)),"")</f>
        <v/>
      </c>
      <c r="G54" s="95" t="str">
        <f t="shared" ref="G54:G65" si="3">IF(ISNUMBER($E54),$E54*IF($G$47&gt;0,MIN($G$46:$G$47),MAX($G$46:$G$47)),"")</f>
        <v/>
      </c>
      <c r="H54" s="95" t="str">
        <f t="shared" ref="H54:H65" si="4">IF(ISNUMBER($E54),$E54*IF($H$47&gt;0,MIN($H$46:$H$47),MAX($H$46:$H$47)),"")</f>
        <v/>
      </c>
      <c r="I54" s="73"/>
      <c r="J54" s="73"/>
      <c r="K54" s="74"/>
    </row>
    <row r="55" spans="2:11" s="28" customFormat="1" ht="19.899999999999999" customHeight="1">
      <c r="B55" s="96">
        <v>2</v>
      </c>
      <c r="C55" s="317"/>
      <c r="D55" s="317"/>
      <c r="E55" s="318"/>
      <c r="F55" s="97" t="str">
        <f t="shared" si="2"/>
        <v/>
      </c>
      <c r="G55" s="97" t="str">
        <f t="shared" si="3"/>
        <v/>
      </c>
      <c r="H55" s="97" t="str">
        <f t="shared" si="4"/>
        <v/>
      </c>
      <c r="I55" s="35"/>
      <c r="J55" s="35"/>
      <c r="K55" s="30"/>
    </row>
    <row r="56" spans="2:11" s="28" customFormat="1" ht="19.899999999999999" customHeight="1">
      <c r="B56" s="96">
        <v>3</v>
      </c>
      <c r="C56" s="317"/>
      <c r="D56" s="317"/>
      <c r="E56" s="318"/>
      <c r="F56" s="97" t="str">
        <f t="shared" si="2"/>
        <v/>
      </c>
      <c r="G56" s="97" t="str">
        <f t="shared" si="3"/>
        <v/>
      </c>
      <c r="H56" s="97" t="str">
        <f t="shared" si="4"/>
        <v/>
      </c>
      <c r="I56" s="35"/>
      <c r="J56" s="35"/>
      <c r="K56" s="30"/>
    </row>
    <row r="57" spans="2:11" s="28" customFormat="1" ht="19.899999999999999" customHeight="1">
      <c r="B57" s="96">
        <v>4</v>
      </c>
      <c r="C57" s="317"/>
      <c r="D57" s="317"/>
      <c r="E57" s="318"/>
      <c r="F57" s="97" t="str">
        <f t="shared" si="2"/>
        <v/>
      </c>
      <c r="G57" s="97" t="str">
        <f t="shared" si="3"/>
        <v/>
      </c>
      <c r="H57" s="97" t="str">
        <f t="shared" si="4"/>
        <v/>
      </c>
      <c r="I57" s="35"/>
      <c r="J57" s="35"/>
      <c r="K57" s="30"/>
    </row>
    <row r="58" spans="2:11" s="28" customFormat="1" ht="19.899999999999999" customHeight="1">
      <c r="B58" s="96">
        <v>5</v>
      </c>
      <c r="C58" s="317"/>
      <c r="D58" s="317"/>
      <c r="E58" s="318"/>
      <c r="F58" s="97" t="str">
        <f t="shared" si="2"/>
        <v/>
      </c>
      <c r="G58" s="97" t="str">
        <f t="shared" si="3"/>
        <v/>
      </c>
      <c r="H58" s="97" t="str">
        <f t="shared" si="4"/>
        <v/>
      </c>
      <c r="I58" s="35"/>
      <c r="J58" s="35"/>
      <c r="K58" s="30"/>
    </row>
    <row r="59" spans="2:11" s="28" customFormat="1" ht="19.899999999999999" customHeight="1">
      <c r="B59" s="96">
        <v>6</v>
      </c>
      <c r="C59" s="317"/>
      <c r="D59" s="317"/>
      <c r="E59" s="318"/>
      <c r="F59" s="97" t="str">
        <f t="shared" si="2"/>
        <v/>
      </c>
      <c r="G59" s="97" t="str">
        <f t="shared" si="3"/>
        <v/>
      </c>
      <c r="H59" s="97" t="str">
        <f t="shared" si="4"/>
        <v/>
      </c>
      <c r="I59" s="35"/>
      <c r="J59" s="35"/>
      <c r="K59" s="30"/>
    </row>
    <row r="60" spans="2:11" s="28" customFormat="1" ht="19.899999999999999" customHeight="1">
      <c r="B60" s="96">
        <v>7</v>
      </c>
      <c r="C60" s="317"/>
      <c r="D60" s="317"/>
      <c r="E60" s="318"/>
      <c r="F60" s="97" t="str">
        <f t="shared" si="2"/>
        <v/>
      </c>
      <c r="G60" s="97" t="str">
        <f t="shared" si="3"/>
        <v/>
      </c>
      <c r="H60" s="97" t="str">
        <f t="shared" si="4"/>
        <v/>
      </c>
      <c r="I60" s="35"/>
      <c r="J60" s="35"/>
      <c r="K60" s="30"/>
    </row>
    <row r="61" spans="2:11" s="28" customFormat="1" ht="19.899999999999999" customHeight="1">
      <c r="B61" s="96">
        <v>8</v>
      </c>
      <c r="C61" s="317"/>
      <c r="D61" s="317"/>
      <c r="E61" s="318"/>
      <c r="F61" s="97" t="str">
        <f t="shared" si="2"/>
        <v/>
      </c>
      <c r="G61" s="97" t="str">
        <f t="shared" si="3"/>
        <v/>
      </c>
      <c r="H61" s="97" t="str">
        <f t="shared" si="4"/>
        <v/>
      </c>
      <c r="I61" s="35"/>
      <c r="J61" s="35"/>
      <c r="K61" s="30"/>
    </row>
    <row r="62" spans="2:11" s="28" customFormat="1" ht="19.899999999999999" customHeight="1">
      <c r="B62" s="96">
        <v>9</v>
      </c>
      <c r="C62" s="317"/>
      <c r="D62" s="317"/>
      <c r="E62" s="318"/>
      <c r="F62" s="97" t="str">
        <f t="shared" si="2"/>
        <v/>
      </c>
      <c r="G62" s="97" t="str">
        <f t="shared" si="3"/>
        <v/>
      </c>
      <c r="H62" s="97" t="str">
        <f t="shared" si="4"/>
        <v/>
      </c>
      <c r="I62" s="35"/>
      <c r="J62" s="35"/>
      <c r="K62" s="30"/>
    </row>
    <row r="63" spans="2:11" s="28" customFormat="1" ht="19.899999999999999" customHeight="1">
      <c r="B63" s="96">
        <v>10</v>
      </c>
      <c r="C63" s="317"/>
      <c r="D63" s="317"/>
      <c r="E63" s="318"/>
      <c r="F63" s="29" t="str">
        <f t="shared" si="2"/>
        <v/>
      </c>
      <c r="G63" s="29" t="str">
        <f t="shared" si="3"/>
        <v/>
      </c>
      <c r="H63" s="29" t="str">
        <f t="shared" si="4"/>
        <v/>
      </c>
      <c r="I63" s="35"/>
      <c r="J63" s="35"/>
      <c r="K63" s="30"/>
    </row>
    <row r="64" spans="2:11" s="28" customFormat="1" ht="19.899999999999999" customHeight="1">
      <c r="B64" s="96">
        <v>11</v>
      </c>
      <c r="C64" s="317"/>
      <c r="D64" s="317"/>
      <c r="E64" s="318"/>
      <c r="F64" s="29" t="str">
        <f t="shared" si="2"/>
        <v/>
      </c>
      <c r="G64" s="29" t="str">
        <f t="shared" si="3"/>
        <v/>
      </c>
      <c r="H64" s="29" t="str">
        <f t="shared" si="4"/>
        <v/>
      </c>
      <c r="I64" s="35"/>
      <c r="J64" s="35"/>
      <c r="K64" s="30"/>
    </row>
    <row r="65" spans="2:11" s="28" customFormat="1" ht="19.899999999999999" customHeight="1" thickBot="1">
      <c r="B65" s="98">
        <v>12</v>
      </c>
      <c r="C65" s="319"/>
      <c r="D65" s="319"/>
      <c r="E65" s="320"/>
      <c r="F65" s="31" t="str">
        <f t="shared" si="2"/>
        <v/>
      </c>
      <c r="G65" s="31" t="str">
        <f t="shared" si="3"/>
        <v/>
      </c>
      <c r="H65" s="31" t="str">
        <f t="shared" si="4"/>
        <v/>
      </c>
      <c r="I65" s="37"/>
      <c r="J65" s="37"/>
      <c r="K65" s="32"/>
    </row>
    <row r="66" spans="2:11" ht="15"/>
    <row r="67" spans="2:11" ht="15" hidden="1"/>
    <row r="68" spans="2:11" ht="14.45" customHeight="1"/>
  </sheetData>
  <sheetProtection algorithmName="SHA-512" hashValue="/MGbKKGke2t7Odyt4DQ+PL8vtoVFF/v8d8/eqT+KieotEMEoNqjdnf7d9LFxcWBGhXkoYd/8hH6gKlYzYWtJzA==" saltValue="Yh996j3EecOyeXLin5XNtw==" spinCount="100000" sheet="1" objects="1" scenarios="1" selectLockedCells="1" autoFilter="0"/>
  <mergeCells count="17">
    <mergeCell ref="E2:J4"/>
    <mergeCell ref="E11:F11"/>
    <mergeCell ref="B9:C9"/>
    <mergeCell ref="E9:F9"/>
    <mergeCell ref="H9:J9"/>
    <mergeCell ref="B10:C10"/>
    <mergeCell ref="E10:F10"/>
    <mergeCell ref="H10:J10"/>
    <mergeCell ref="H11:J11"/>
    <mergeCell ref="B11:C11"/>
    <mergeCell ref="B50:K50"/>
    <mergeCell ref="F51:H51"/>
    <mergeCell ref="B12:C12"/>
    <mergeCell ref="E12:F12"/>
    <mergeCell ref="E15:F15"/>
    <mergeCell ref="E24:F24"/>
    <mergeCell ref="B16:C16"/>
  </mergeCells>
  <dataValidations count="2">
    <dataValidation type="list" allowBlank="1" showInputMessage="1" showErrorMessage="1" sqref="E24" xr:uid="{00000000-0002-0000-0600-000000000000}">
      <formula1>$G$24:$H$24</formula1>
    </dataValidation>
    <dataValidation type="list" allowBlank="1" showInputMessage="1" showErrorMessage="1" sqref="E16" xr:uid="{03F4CDFA-3A92-463F-92F5-98B910DD06A4}">
      <formula1>$M$16:$M$17</formula1>
    </dataValidation>
  </dataValidations>
  <pageMargins left="0.7" right="0.7" top="0.78740157499999996" bottom="0.78740157499999996" header="0.3" footer="0.3"/>
  <pageSetup paperSize="9" scale="64" orientation="portrait" r:id="rId1"/>
  <colBreaks count="1" manualBreakCount="1">
    <brk id="12"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S68"/>
  <sheetViews>
    <sheetView topLeftCell="A7" workbookViewId="0">
      <selection activeCell="E34" sqref="E34"/>
    </sheetView>
  </sheetViews>
  <sheetFormatPr baseColWidth="10" defaultColWidth="0" defaultRowHeight="14.45" customHeight="1" zeroHeight="1"/>
  <cols>
    <col min="1" max="1" width="4.7109375" customWidth="1"/>
    <col min="2" max="2" width="8.28515625" customWidth="1"/>
    <col min="3" max="3" width="24.85546875" customWidth="1"/>
    <col min="4" max="4" width="7.85546875" style="23" hidden="1" customWidth="1"/>
    <col min="5" max="5" width="12.28515625" customWidth="1"/>
    <col min="6" max="8" width="14.42578125" customWidth="1"/>
    <col min="9" max="10" width="11.42578125" customWidth="1"/>
    <col min="11" max="11" width="12.7109375" bestFit="1" customWidth="1"/>
    <col min="12" max="12" width="5.28515625" customWidth="1"/>
    <col min="13" max="16384" width="11.42578125" hidden="1"/>
  </cols>
  <sheetData>
    <row r="1" spans="1:19" ht="15.75" thickBot="1">
      <c r="A1" s="27" t="str">
        <f ca="1">MID(CELL("dateiname",A1),SEARCH("]",CELL("dateiname",A1))+1,31)</f>
        <v>TF (5)</v>
      </c>
    </row>
    <row r="2" spans="1:19" ht="15" customHeight="1">
      <c r="B2" s="389"/>
      <c r="C2" s="390"/>
      <c r="D2" s="390"/>
      <c r="E2" s="666" t="str">
        <f>_Dok_Titel</f>
        <v>Planungshilfe
Solar- und Photovoltaikanlagen auf Schrägdächern (Art. 77 Abs. 3 und 4 BZR)
Formular-Release 2.5</v>
      </c>
      <c r="F2" s="666"/>
      <c r="G2" s="666"/>
      <c r="H2" s="666"/>
      <c r="I2" s="666"/>
      <c r="J2" s="666"/>
      <c r="K2" s="391"/>
    </row>
    <row r="3" spans="1:19" ht="15" customHeight="1">
      <c r="B3" s="392"/>
      <c r="C3" s="393"/>
      <c r="D3" s="393"/>
      <c r="E3" s="667"/>
      <c r="F3" s="667"/>
      <c r="G3" s="667"/>
      <c r="H3" s="667"/>
      <c r="I3" s="667"/>
      <c r="J3" s="667"/>
      <c r="K3" s="394"/>
    </row>
    <row r="4" spans="1:19" ht="34.15" customHeight="1" thickBot="1">
      <c r="B4" s="395"/>
      <c r="C4" s="396"/>
      <c r="D4" s="396"/>
      <c r="E4" s="668"/>
      <c r="F4" s="668"/>
      <c r="G4" s="668"/>
      <c r="H4" s="668"/>
      <c r="I4" s="668"/>
      <c r="J4" s="668"/>
      <c r="K4" s="397"/>
    </row>
    <row r="5" spans="1:19" ht="15.75" thickBot="1"/>
    <row r="6" spans="1:19" s="21" customFormat="1" ht="21.75" thickBot="1">
      <c r="B6" s="18" t="str">
        <f ca="1">"Zusammenstellung Kennwerte Teilfläche "&amp;MID(CELL("dateiname",A1),SEARCH("]",CELL("dateiname",A1))+1,31)</f>
        <v>Zusammenstellung Kennwerte Teilfläche TF (5)</v>
      </c>
      <c r="C6" s="19"/>
      <c r="D6" s="48"/>
      <c r="E6" s="19"/>
      <c r="F6" s="19"/>
      <c r="G6" s="19"/>
      <c r="H6" s="19"/>
      <c r="I6" s="19"/>
      <c r="J6" s="19"/>
      <c r="K6" s="20"/>
      <c r="O6"/>
      <c r="P6"/>
      <c r="Q6"/>
      <c r="R6"/>
      <c r="S6"/>
    </row>
    <row r="7" spans="1:19" ht="15.75" thickBot="1"/>
    <row r="8" spans="1:19" s="21" customFormat="1" ht="21.75" thickBot="1">
      <c r="B8" s="18" t="s">
        <v>26</v>
      </c>
      <c r="C8" s="19"/>
      <c r="D8" s="48"/>
      <c r="E8" s="19"/>
      <c r="F8" s="19"/>
      <c r="G8" s="19"/>
      <c r="H8" s="19"/>
      <c r="I8" s="19"/>
      <c r="J8" s="19"/>
      <c r="K8" s="20"/>
      <c r="O8"/>
      <c r="P8"/>
      <c r="Q8"/>
      <c r="R8"/>
      <c r="S8"/>
    </row>
    <row r="9" spans="1:19" s="28" customFormat="1" ht="19.899999999999999" customHeight="1">
      <c r="B9" s="551" t="str">
        <f>Bericht!B7</f>
        <v>Projektname</v>
      </c>
      <c r="C9" s="552"/>
      <c r="D9" s="415"/>
      <c r="E9" s="669">
        <f>_Projektname</f>
        <v>0</v>
      </c>
      <c r="F9" s="669"/>
      <c r="G9" s="426"/>
      <c r="H9" s="649" t="str">
        <f>Bericht!J7</f>
        <v>Netzversorger:</v>
      </c>
      <c r="I9" s="649"/>
      <c r="J9" s="649"/>
      <c r="K9" s="138" t="str">
        <f>_Netzversorger</f>
        <v>ckw</v>
      </c>
    </row>
    <row r="10" spans="1:19" s="28" customFormat="1" ht="19.899999999999999" customHeight="1">
      <c r="B10" s="553" t="str">
        <f>Bericht!B8</f>
        <v>Adresse</v>
      </c>
      <c r="C10" s="554"/>
      <c r="D10" s="416"/>
      <c r="E10" s="670">
        <f>_Adresse</f>
        <v>0</v>
      </c>
      <c r="F10" s="670"/>
      <c r="G10" s="427"/>
      <c r="H10" s="650" t="str">
        <f>Bericht!J8</f>
        <v>Geplantes Datum Fertigstellung:</v>
      </c>
      <c r="I10" s="650"/>
      <c r="J10" s="650"/>
      <c r="K10" s="139">
        <f>_Datum_IBS</f>
        <v>0</v>
      </c>
      <c r="L10" s="410"/>
    </row>
    <row r="11" spans="1:19" s="28" customFormat="1" ht="19.899999999999999" customHeight="1">
      <c r="B11" s="553" t="str">
        <f>Bericht!B9</f>
        <v>PLZ Ort</v>
      </c>
      <c r="C11" s="554"/>
      <c r="D11" s="416"/>
      <c r="E11" s="670">
        <f>_PLZ</f>
        <v>0</v>
      </c>
      <c r="F11" s="670"/>
      <c r="G11" s="427"/>
      <c r="H11" s="650" t="s">
        <v>277</v>
      </c>
      <c r="I11" s="650"/>
      <c r="J11" s="650"/>
      <c r="K11" s="409">
        <f>_Letzte_REV</f>
        <v>46042</v>
      </c>
      <c r="L11" s="411"/>
    </row>
    <row r="12" spans="1:19" s="28" customFormat="1" ht="19.899999999999999" customHeight="1" thickBot="1">
      <c r="B12" s="680" t="s">
        <v>138</v>
      </c>
      <c r="C12" s="681"/>
      <c r="D12" s="31"/>
      <c r="E12" s="556">
        <f>Bericht!D10</f>
        <v>0</v>
      </c>
      <c r="F12" s="556"/>
      <c r="G12" s="428"/>
      <c r="H12" s="31" t="s">
        <v>278</v>
      </c>
      <c r="I12" s="31"/>
      <c r="J12" s="31"/>
      <c r="K12" s="358">
        <f>_Nächste_REV</f>
        <v>46357</v>
      </c>
      <c r="L12" s="411"/>
    </row>
    <row r="13" spans="1:19" ht="15.75" thickBot="1"/>
    <row r="14" spans="1:19" s="21" customFormat="1" ht="21.75" thickBot="1">
      <c r="B14" s="18" t="s">
        <v>75</v>
      </c>
      <c r="C14" s="19"/>
      <c r="D14" s="48"/>
      <c r="E14" s="19"/>
      <c r="F14" s="19"/>
      <c r="G14" s="19"/>
      <c r="H14" s="19"/>
      <c r="I14" s="19"/>
      <c r="J14" s="19"/>
      <c r="K14" s="20"/>
      <c r="O14"/>
      <c r="P14"/>
      <c r="Q14"/>
      <c r="R14"/>
      <c r="S14"/>
    </row>
    <row r="15" spans="1:19" s="28" customFormat="1" ht="19.899999999999999" customHeight="1">
      <c r="B15" s="40" t="s">
        <v>93</v>
      </c>
      <c r="C15" s="41"/>
      <c r="D15" s="42" t="s">
        <v>155</v>
      </c>
      <c r="E15" s="679"/>
      <c r="F15" s="679"/>
      <c r="G15" s="41"/>
      <c r="H15" s="41"/>
      <c r="I15" s="41"/>
      <c r="J15" s="41"/>
      <c r="K15" s="39"/>
    </row>
    <row r="16" spans="1:19" s="28" customFormat="1" ht="19.899999999999999" customHeight="1">
      <c r="B16" s="682" t="s">
        <v>355</v>
      </c>
      <c r="C16" s="616"/>
      <c r="D16" s="66" t="s">
        <v>366</v>
      </c>
      <c r="E16" s="489" t="s">
        <v>357</v>
      </c>
      <c r="F16" s="29"/>
      <c r="G16" s="73" t="s">
        <v>356</v>
      </c>
      <c r="H16" s="73"/>
      <c r="I16" s="73"/>
      <c r="J16" s="73"/>
      <c r="K16" s="74"/>
      <c r="M16" s="28" t="s">
        <v>357</v>
      </c>
    </row>
    <row r="17" spans="2:19" s="28" customFormat="1" ht="19.899999999999999" customHeight="1">
      <c r="B17" s="72" t="s">
        <v>96</v>
      </c>
      <c r="C17" s="73"/>
      <c r="D17" s="66" t="s">
        <v>129</v>
      </c>
      <c r="E17" s="270"/>
      <c r="F17" s="65" t="s">
        <v>127</v>
      </c>
      <c r="G17" s="73" t="s">
        <v>234</v>
      </c>
      <c r="H17" s="73"/>
      <c r="I17" s="73"/>
      <c r="J17" s="73"/>
      <c r="K17" s="74"/>
      <c r="M17" s="28" t="s">
        <v>358</v>
      </c>
    </row>
    <row r="18" spans="2:19" s="28" customFormat="1" ht="19.899999999999999" customHeight="1">
      <c r="B18" s="33" t="s">
        <v>94</v>
      </c>
      <c r="C18" s="35"/>
      <c r="D18" s="34" t="s">
        <v>37</v>
      </c>
      <c r="E18" s="271"/>
      <c r="F18" s="29" t="s">
        <v>54</v>
      </c>
      <c r="G18" s="35" t="s">
        <v>67</v>
      </c>
      <c r="H18" s="35"/>
      <c r="I18" s="35"/>
      <c r="J18" s="35"/>
      <c r="K18" s="30"/>
    </row>
    <row r="19" spans="2:19" s="28" customFormat="1" ht="19.899999999999999" customHeight="1" thickBot="1">
      <c r="B19" s="36" t="s">
        <v>95</v>
      </c>
      <c r="C19" s="37"/>
      <c r="D19" s="71" t="s">
        <v>38</v>
      </c>
      <c r="E19" s="272"/>
      <c r="F19" s="31" t="s">
        <v>54</v>
      </c>
      <c r="G19" s="37" t="s">
        <v>68</v>
      </c>
      <c r="H19" s="37"/>
      <c r="I19" s="37"/>
      <c r="J19" s="37"/>
      <c r="K19" s="32"/>
    </row>
    <row r="20" spans="2:19" s="23" customFormat="1" ht="15" hidden="1" customHeight="1">
      <c r="C20" s="23" t="s">
        <v>74</v>
      </c>
      <c r="E20" s="23">
        <f>RADIANS(E18)</f>
        <v>0</v>
      </c>
    </row>
    <row r="21" spans="2:19" s="23" customFormat="1" ht="15" hidden="1">
      <c r="C21" s="23" t="s">
        <v>71</v>
      </c>
      <c r="E21" s="23">
        <f>-RADIANS(E19)</f>
        <v>0</v>
      </c>
    </row>
    <row r="22" spans="2:19" ht="15.75" thickBot="1"/>
    <row r="23" spans="2:19" s="21" customFormat="1" ht="21.75" thickBot="1">
      <c r="B23" s="18" t="s">
        <v>50</v>
      </c>
      <c r="C23" s="19"/>
      <c r="D23" s="48"/>
      <c r="E23" s="19"/>
      <c r="F23" s="19"/>
      <c r="G23" s="19"/>
      <c r="H23" s="19"/>
      <c r="I23" s="19"/>
      <c r="J23" s="19"/>
      <c r="K23" s="20"/>
      <c r="O23"/>
      <c r="P23"/>
      <c r="Q23"/>
      <c r="R23"/>
      <c r="S23"/>
    </row>
    <row r="24" spans="2:19" s="28" customFormat="1" ht="19.899999999999999" customHeight="1">
      <c r="B24" s="40" t="s">
        <v>51</v>
      </c>
      <c r="C24" s="41"/>
      <c r="D24" s="42" t="s">
        <v>76</v>
      </c>
      <c r="E24" s="687" t="s">
        <v>105</v>
      </c>
      <c r="F24" s="687"/>
      <c r="G24" s="41" t="s">
        <v>104</v>
      </c>
      <c r="H24" s="41" t="s">
        <v>105</v>
      </c>
      <c r="I24" s="41"/>
      <c r="J24" s="41"/>
      <c r="K24" s="39"/>
    </row>
    <row r="25" spans="2:19" s="28" customFormat="1" ht="19.899999999999999" customHeight="1">
      <c r="B25" s="72" t="s">
        <v>229</v>
      </c>
      <c r="C25" s="73"/>
      <c r="D25" s="66" t="s">
        <v>235</v>
      </c>
      <c r="E25" s="485" t="str">
        <f>IF((ABS($E18)+_AbweichungNord)&gt;180,"Satiniert","Standard")</f>
        <v>Standard</v>
      </c>
      <c r="F25" s="485"/>
      <c r="G25" s="73"/>
      <c r="H25" s="73"/>
      <c r="I25" s="73"/>
      <c r="J25" s="73"/>
      <c r="K25" s="74"/>
    </row>
    <row r="26" spans="2:19" s="28" customFormat="1" ht="19.899999999999999" customHeight="1">
      <c r="B26" s="33" t="s">
        <v>49</v>
      </c>
      <c r="C26" s="35"/>
      <c r="D26" s="34" t="s">
        <v>40</v>
      </c>
      <c r="E26" s="29">
        <f>IF((ABS($E18)+_AbweichungNord)&gt;180,_Modulleistung_Satin,_Modulleistung_Standard)</f>
        <v>485</v>
      </c>
      <c r="F26" s="29" t="s">
        <v>58</v>
      </c>
      <c r="G26" s="35" t="str">
        <f ca="1">"Modulleistung definiert im Tab "&amp;Datengrundlage!A1&amp;""</f>
        <v>Modulleistung definiert im Tab Datengrundlage</v>
      </c>
      <c r="H26" s="35"/>
      <c r="I26" s="35"/>
      <c r="J26" s="35"/>
      <c r="K26" s="30"/>
    </row>
    <row r="27" spans="2:19" s="28" customFormat="1" ht="19.899999999999999" customHeight="1">
      <c r="B27" s="33" t="s">
        <v>196</v>
      </c>
      <c r="C27" s="35"/>
      <c r="D27" s="34" t="s">
        <v>97</v>
      </c>
      <c r="E27" s="273"/>
      <c r="F27" s="29" t="s">
        <v>99</v>
      </c>
      <c r="G27" s="35" t="s">
        <v>202</v>
      </c>
      <c r="H27" s="35"/>
      <c r="I27" s="35"/>
      <c r="J27" s="35"/>
      <c r="K27" s="30"/>
    </row>
    <row r="28" spans="2:19" s="28" customFormat="1" ht="19.899999999999999" customHeight="1" thickBot="1">
      <c r="B28" s="36" t="s">
        <v>195</v>
      </c>
      <c r="C28" s="37"/>
      <c r="D28" s="71" t="s">
        <v>154</v>
      </c>
      <c r="E28" s="313">
        <f>E27</f>
        <v>0</v>
      </c>
      <c r="F28" s="31" t="s">
        <v>99</v>
      </c>
      <c r="G28" s="37" t="s">
        <v>203</v>
      </c>
      <c r="H28" s="37"/>
      <c r="I28" s="37"/>
      <c r="J28" s="37"/>
      <c r="K28" s="32"/>
    </row>
    <row r="29" spans="2:19" ht="15.75" thickBot="1"/>
    <row r="30" spans="2:19" s="21" customFormat="1" ht="21.75" thickBot="1">
      <c r="B30" s="18" t="s">
        <v>281</v>
      </c>
      <c r="C30" s="19"/>
      <c r="D30" s="48"/>
      <c r="E30" s="19"/>
      <c r="F30" s="19"/>
      <c r="G30" s="19"/>
      <c r="H30" s="19"/>
      <c r="I30" s="19"/>
      <c r="J30" s="19"/>
      <c r="K30" s="20"/>
      <c r="O30"/>
      <c r="P30"/>
      <c r="Q30"/>
      <c r="R30"/>
      <c r="S30"/>
    </row>
    <row r="31" spans="2:19" s="28" customFormat="1" ht="19.899999999999999" customHeight="1">
      <c r="B31" s="40" t="s">
        <v>120</v>
      </c>
      <c r="C31" s="41"/>
      <c r="D31" s="42"/>
      <c r="E31" s="76">
        <f>_Spez_Ertrag_Standort</f>
        <v>900</v>
      </c>
      <c r="F31" s="75" t="s">
        <v>123</v>
      </c>
      <c r="G31" s="41" t="str">
        <f>"Spez. Ertrag am Standort"</f>
        <v>Spez. Ertrag am Standort</v>
      </c>
      <c r="H31" s="41"/>
      <c r="I31" s="41"/>
      <c r="J31" s="41"/>
      <c r="K31" s="39"/>
    </row>
    <row r="32" spans="2:19" s="28" customFormat="1" ht="19.899999999999999" customHeight="1">
      <c r="B32" s="33" t="s">
        <v>119</v>
      </c>
      <c r="C32" s="35"/>
      <c r="D32" s="34"/>
      <c r="E32" s="77" cm="1">
        <f t="array" ref="E32">INDEX(_Faktor_Ausrichtung,ROUND(((E19/_RasterNeigung))+1,0),ROUND((((E18)/_RasterAzimut))+180/_RasterAzimut+1,0),1)</f>
        <v>1</v>
      </c>
      <c r="F32" s="29"/>
      <c r="G32" s="35" t="s">
        <v>115</v>
      </c>
      <c r="H32" s="35"/>
      <c r="I32" s="35"/>
      <c r="J32" s="35"/>
      <c r="K32" s="30"/>
    </row>
    <row r="33" spans="2:19" s="44" customFormat="1" ht="19.899999999999999" hidden="1" customHeight="1">
      <c r="B33" s="43" t="s">
        <v>121</v>
      </c>
      <c r="C33" s="34"/>
      <c r="D33" s="34"/>
      <c r="E33" s="47">
        <f>E31*E32</f>
        <v>900</v>
      </c>
      <c r="F33" s="45" t="s">
        <v>123</v>
      </c>
      <c r="G33" s="34" t="s">
        <v>116</v>
      </c>
      <c r="H33" s="34"/>
      <c r="I33" s="34"/>
      <c r="J33" s="34"/>
      <c r="K33" s="46"/>
    </row>
    <row r="34" spans="2:19" s="28" customFormat="1" ht="19.899999999999999" customHeight="1">
      <c r="B34" s="33" t="s">
        <v>148</v>
      </c>
      <c r="C34" s="35"/>
      <c r="D34" s="34" t="s">
        <v>151</v>
      </c>
      <c r="E34" s="314"/>
      <c r="F34" s="29" t="s">
        <v>123</v>
      </c>
      <c r="G34" s="35" t="s">
        <v>117</v>
      </c>
      <c r="H34" s="35"/>
      <c r="I34" s="35"/>
      <c r="J34" s="35"/>
      <c r="K34" s="30"/>
    </row>
    <row r="35" spans="2:19" s="28" customFormat="1" ht="19.899999999999999" customHeight="1" thickBot="1">
      <c r="B35" s="36" t="s">
        <v>122</v>
      </c>
      <c r="C35" s="37"/>
      <c r="D35" s="71" t="s">
        <v>77</v>
      </c>
      <c r="E35" s="78">
        <f>IF(ISNUMBER(E34),E34,E33)</f>
        <v>900</v>
      </c>
      <c r="F35" s="31" t="s">
        <v>123</v>
      </c>
      <c r="G35" s="37" t="s">
        <v>118</v>
      </c>
      <c r="H35" s="37"/>
      <c r="I35" s="37"/>
      <c r="J35" s="37"/>
      <c r="K35" s="32"/>
    </row>
    <row r="36" spans="2:19" ht="15.75" thickBot="1"/>
    <row r="37" spans="2:19" s="21" customFormat="1" ht="21.75" thickBot="1">
      <c r="B37" s="18" t="s">
        <v>350</v>
      </c>
      <c r="C37" s="19"/>
      <c r="D37" s="48"/>
      <c r="E37" s="19"/>
      <c r="F37" s="19"/>
      <c r="G37" s="19"/>
      <c r="H37" s="19"/>
      <c r="I37" s="19"/>
      <c r="J37" s="19"/>
      <c r="K37" s="20"/>
      <c r="O37"/>
      <c r="P37"/>
      <c r="Q37"/>
      <c r="R37"/>
      <c r="S37"/>
    </row>
    <row r="38" spans="2:19" s="28" customFormat="1" ht="19.899999999999999" customHeight="1">
      <c r="B38" s="40" t="s">
        <v>351</v>
      </c>
      <c r="C38" s="41"/>
      <c r="D38" s="42" t="s">
        <v>365</v>
      </c>
      <c r="E38" s="76">
        <f>IF(AND(E19&gt;=_Neigungswinkel_für_NB_Bund,E19&lt;=90),E27*E26/1000*_Neigungswinkelbonus_Bund,0)</f>
        <v>0</v>
      </c>
      <c r="F38" s="483" t="s">
        <v>353</v>
      </c>
      <c r="G38" s="41"/>
      <c r="H38" s="76">
        <f>IF(AND(E19&gt;=_Neigungswinkel_für_NB_Bund,E19&lt;=90),E28*E26/1000*_Neigungswinkelbonus_Bund,0)</f>
        <v>0</v>
      </c>
      <c r="I38" s="41" t="s">
        <v>354</v>
      </c>
      <c r="J38" s="41"/>
      <c r="K38" s="39"/>
    </row>
    <row r="39" spans="2:19" s="28" customFormat="1" ht="19.899999999999999" customHeight="1">
      <c r="B39" s="33" t="s">
        <v>359</v>
      </c>
      <c r="C39" s="35"/>
      <c r="D39" s="34" t="s">
        <v>364</v>
      </c>
      <c r="E39" s="482">
        <f>IFERROR(IF(AND(E16=M16,E27*E26/1000&gt;=_Schwelle_PPBonus),E27*E26/1000*_Parkplatzbonus_pronovo,0),0)</f>
        <v>0</v>
      </c>
      <c r="F39" s="29" t="s">
        <v>353</v>
      </c>
      <c r="G39" s="35"/>
      <c r="H39" s="482">
        <f>IFERROR(IF(AND(E16=M16,E28*E26/1000&gt;=_Schwelle_PPBonus),E28*E26/1000*_Parkplatzbonus_pronovo,0),0)</f>
        <v>0</v>
      </c>
      <c r="I39" s="35" t="s">
        <v>354</v>
      </c>
      <c r="J39" s="35"/>
      <c r="K39" s="30"/>
    </row>
    <row r="40" spans="2:19" s="28" customFormat="1" ht="19.899999999999999" customHeight="1">
      <c r="B40" s="33" t="s">
        <v>352</v>
      </c>
      <c r="C40" s="35"/>
      <c r="D40" s="34" t="s">
        <v>362</v>
      </c>
      <c r="E40" s="482">
        <f>IFERROR(IF(AND(E19&gt;=_Neigungswinkel_für_NB_Bund,E19&lt;=90),E27*_Modullänge_Standard*_Modulbreite_Standard*_ZuschlagSteil_Stadt,0),0)</f>
        <v>0</v>
      </c>
      <c r="F40" s="29" t="s">
        <v>353</v>
      </c>
      <c r="G40" s="35"/>
      <c r="H40" s="482">
        <f>IFERROR(IF(AND(E19&gt;=_Neigungswinkel_für_NB_Bund,E19&lt;=90),E28*_Modullänge_Standard*_Modulbreite_Standard*_ZuschlagSteil_Stadt,0),0)</f>
        <v>0</v>
      </c>
      <c r="I40" s="35" t="s">
        <v>354</v>
      </c>
      <c r="J40" s="35"/>
      <c r="K40" s="30"/>
    </row>
    <row r="41" spans="2:19" s="28" customFormat="1" ht="19.899999999999999" customHeight="1" thickBot="1">
      <c r="B41" s="36" t="s">
        <v>337</v>
      </c>
      <c r="C41" s="37"/>
      <c r="D41" s="71" t="s">
        <v>363</v>
      </c>
      <c r="E41" s="78">
        <f>IF(AND((ABS($E18)+_AbweichungNord)&gt;=180,E19&lt;_Neigungswinkel_für_NB_Bund),E27*E26/1000*_ZuschlagNord_Stadt,0)</f>
        <v>0</v>
      </c>
      <c r="F41" s="31" t="s">
        <v>353</v>
      </c>
      <c r="G41" s="37"/>
      <c r="H41" s="78">
        <f>IF(AND((ABS($E18)+_AbweichungNord)&gt;=180,E19&lt;_Neigungswinkel_für_NB_Bund),E28*E26/1000*_ZuschlagNord_Stadt,0)</f>
        <v>0</v>
      </c>
      <c r="I41" s="37" t="s">
        <v>354</v>
      </c>
      <c r="J41" s="37"/>
      <c r="K41" s="32"/>
    </row>
    <row r="42" spans="2:19" ht="15.75" thickBot="1"/>
    <row r="43" spans="2:19" s="21" customFormat="1" ht="21.75" thickBot="1">
      <c r="B43" s="18" t="s">
        <v>189</v>
      </c>
      <c r="C43" s="19"/>
      <c r="D43" s="48"/>
      <c r="E43" s="19"/>
      <c r="F43" s="19"/>
      <c r="G43" s="19"/>
      <c r="H43" s="19"/>
      <c r="I43" s="19"/>
      <c r="J43" s="19"/>
      <c r="K43" s="20"/>
      <c r="O43"/>
      <c r="P43"/>
      <c r="Q43"/>
      <c r="R43"/>
      <c r="S43"/>
    </row>
    <row r="44" spans="2:19" s="23" customFormat="1" ht="15" hidden="1">
      <c r="B44" s="79"/>
      <c r="D44" s="23" t="s">
        <v>84</v>
      </c>
      <c r="F44" s="23">
        <v>-90</v>
      </c>
      <c r="G44" s="23">
        <v>-180</v>
      </c>
      <c r="H44" s="23">
        <v>90</v>
      </c>
      <c r="K44" s="80"/>
    </row>
    <row r="45" spans="2:19" s="23" customFormat="1" ht="15" hidden="1">
      <c r="B45" s="79"/>
      <c r="D45" s="23" t="s">
        <v>69</v>
      </c>
      <c r="F45" s="81">
        <f>RADIANS(F44)</f>
        <v>-1.5707963267948966</v>
      </c>
      <c r="G45" s="81">
        <f t="shared" ref="G45:H45" si="0">RADIANS(G44)</f>
        <v>-3.1415926535897931</v>
      </c>
      <c r="H45" s="81">
        <f t="shared" si="0"/>
        <v>1.5707963267948966</v>
      </c>
      <c r="K45" s="80"/>
    </row>
    <row r="46" spans="2:19" s="23" customFormat="1" ht="15" hidden="1">
      <c r="B46" s="79"/>
      <c r="D46" s="23" t="s">
        <v>70</v>
      </c>
      <c r="F46" s="23">
        <v>1</v>
      </c>
      <c r="G46" s="23">
        <v>3</v>
      </c>
      <c r="H46" s="23">
        <v>1</v>
      </c>
      <c r="K46" s="80"/>
    </row>
    <row r="47" spans="2:19" s="23" customFormat="1" ht="15" hidden="1">
      <c r="B47" s="79"/>
      <c r="D47" s="23" t="s">
        <v>85</v>
      </c>
      <c r="F47" s="82">
        <f>$F$46*SIN(ATAN(1/$F$46))/SIN(ASIN(SIN($E$21)*COS($F$45-PI()+$E$20))+ATAN(1/$F$46))</f>
        <v>1</v>
      </c>
      <c r="G47" s="82">
        <f>$G$46*SIN(ATAN(1/$G$46))/SIN(ASIN(SIN(-$E$21)*COS($G$45-PI()+$E$20))+ATAN(1/$G$46))</f>
        <v>3</v>
      </c>
      <c r="H47" s="82">
        <f>$H$46*SIN(ATAN(1/$H$46))/SIN(ASIN(SIN($E$21)*COS($H$45-PI()+$E$20))+ATAN(1/$H$46))</f>
        <v>1</v>
      </c>
      <c r="K47" s="80"/>
    </row>
    <row r="48" spans="2:19" s="23" customFormat="1" ht="15" hidden="1">
      <c r="B48" s="79"/>
      <c r="D48" s="23" t="s">
        <v>72</v>
      </c>
      <c r="F48" s="81">
        <f>ASIN(SIN($E$21)*COS(F45-$E$20))</f>
        <v>0</v>
      </c>
      <c r="G48" s="81">
        <f>ASIN(SIN($E$21)*COS(G45-$E$20))</f>
        <v>0</v>
      </c>
      <c r="H48" s="81">
        <f>ASIN(SIN($E$21)*COS(H45-$E$20))</f>
        <v>0</v>
      </c>
      <c r="K48" s="80"/>
    </row>
    <row r="49" spans="2:11" s="23" customFormat="1" ht="15" hidden="1">
      <c r="B49" s="79"/>
      <c r="D49" s="23" t="s">
        <v>73</v>
      </c>
      <c r="F49" s="83">
        <f>F48*180/PI()</f>
        <v>0</v>
      </c>
      <c r="G49" s="83">
        <f t="shared" ref="G49:H49" si="1">G48*180/PI()</f>
        <v>0</v>
      </c>
      <c r="H49" s="83">
        <f t="shared" si="1"/>
        <v>0</v>
      </c>
      <c r="K49" s="80"/>
    </row>
    <row r="50" spans="2:11" s="262" customFormat="1" ht="59.45" customHeight="1">
      <c r="B50" s="684" t="str">
        <f>"Zum Dachrand, sowie um Dachaufbauten wie Fenster, Lukarnen, Kamine, Lüftungsrohre etc. dürfen Abstände von "&amp;_Modul_Randabstand&amp;" m berücksichtigt werden. Die Verschattungsabstände durch hohe Objekte können zudem gemäss Kallkulation nach untenstehender Tabelle berücksichtigt werden. (Abstände auf der Dachfläche in die entsprechende Himmelsrichtung)"</f>
        <v>Zum Dachrand, sowie um Dachaufbauten wie Fenster, Lukarnen, Kamine, Lüftungsrohre etc. dürfen Abstände von 0.2 m berücksichtigt werden. Die Verschattungsabstände durch hohe Objekte können zudem gemäss Kallkulation nach untenstehender Tabelle berücksichtigt werden. (Abstände auf der Dachfläche in die entsprechende Himmelsrichtung)</v>
      </c>
      <c r="C50" s="685"/>
      <c r="D50" s="685"/>
      <c r="E50" s="685"/>
      <c r="F50" s="685"/>
      <c r="G50" s="685"/>
      <c r="H50" s="685"/>
      <c r="I50" s="685"/>
      <c r="J50" s="685"/>
      <c r="K50" s="686"/>
    </row>
    <row r="51" spans="2:11" s="28" customFormat="1" ht="19.899999999999999" customHeight="1">
      <c r="B51" s="49"/>
      <c r="C51" s="50"/>
      <c r="D51" s="51"/>
      <c r="E51" s="84"/>
      <c r="F51" s="683" t="s">
        <v>87</v>
      </c>
      <c r="G51" s="683"/>
      <c r="H51" s="683"/>
      <c r="K51" s="86"/>
    </row>
    <row r="52" spans="2:11" s="28" customFormat="1" ht="19.899999999999999" customHeight="1">
      <c r="B52" s="49" t="s">
        <v>91</v>
      </c>
      <c r="C52" s="50" t="s">
        <v>20</v>
      </c>
      <c r="D52" s="51"/>
      <c r="E52" s="87" t="s">
        <v>114</v>
      </c>
      <c r="F52" s="85" t="s">
        <v>88</v>
      </c>
      <c r="G52" s="85" t="s">
        <v>89</v>
      </c>
      <c r="H52" s="85" t="s">
        <v>90</v>
      </c>
      <c r="K52" s="86"/>
    </row>
    <row r="53" spans="2:11" s="28" customFormat="1" ht="19.899999999999999" customHeight="1">
      <c r="B53" s="88" t="s">
        <v>92</v>
      </c>
      <c r="C53" s="89"/>
      <c r="D53" s="90"/>
      <c r="E53" s="91" t="s">
        <v>86</v>
      </c>
      <c r="F53" s="91" t="s">
        <v>86</v>
      </c>
      <c r="G53" s="91" t="s">
        <v>86</v>
      </c>
      <c r="H53" s="91" t="s">
        <v>86</v>
      </c>
      <c r="I53" s="92"/>
      <c r="J53" s="92"/>
      <c r="K53" s="93"/>
    </row>
    <row r="54" spans="2:11" s="28" customFormat="1" ht="19.899999999999999" customHeight="1">
      <c r="B54" s="94">
        <v>1</v>
      </c>
      <c r="C54" s="315"/>
      <c r="D54" s="315"/>
      <c r="E54" s="316"/>
      <c r="F54" s="95" t="str">
        <f t="shared" ref="F54:F65" si="2">IF(ISNUMBER($E54),$E54*IF($F$47&gt;0,MIN($F$46:$F$47),MAX($F$46:$F$47)),"")</f>
        <v/>
      </c>
      <c r="G54" s="95" t="str">
        <f t="shared" ref="G54:G65" si="3">IF(ISNUMBER($E54),$E54*IF($G$47&gt;0,MIN($G$46:$G$47),MAX($G$46:$G$47)),"")</f>
        <v/>
      </c>
      <c r="H54" s="95" t="str">
        <f t="shared" ref="H54:H65" si="4">IF(ISNUMBER($E54),$E54*IF($H$47&gt;0,MIN($H$46:$H$47),MAX($H$46:$H$47)),"")</f>
        <v/>
      </c>
      <c r="I54" s="73"/>
      <c r="J54" s="73"/>
      <c r="K54" s="74"/>
    </row>
    <row r="55" spans="2:11" s="28" customFormat="1" ht="19.899999999999999" customHeight="1">
      <c r="B55" s="96">
        <v>2</v>
      </c>
      <c r="C55" s="317"/>
      <c r="D55" s="317"/>
      <c r="E55" s="318"/>
      <c r="F55" s="97" t="str">
        <f t="shared" si="2"/>
        <v/>
      </c>
      <c r="G55" s="97" t="str">
        <f t="shared" si="3"/>
        <v/>
      </c>
      <c r="H55" s="97" t="str">
        <f t="shared" si="4"/>
        <v/>
      </c>
      <c r="I55" s="35"/>
      <c r="J55" s="35"/>
      <c r="K55" s="30"/>
    </row>
    <row r="56" spans="2:11" s="28" customFormat="1" ht="19.899999999999999" customHeight="1">
      <c r="B56" s="96">
        <v>3</v>
      </c>
      <c r="C56" s="317"/>
      <c r="D56" s="317"/>
      <c r="E56" s="318"/>
      <c r="F56" s="97" t="str">
        <f t="shared" si="2"/>
        <v/>
      </c>
      <c r="G56" s="97" t="str">
        <f t="shared" si="3"/>
        <v/>
      </c>
      <c r="H56" s="97" t="str">
        <f t="shared" si="4"/>
        <v/>
      </c>
      <c r="I56" s="35"/>
      <c r="J56" s="35"/>
      <c r="K56" s="30"/>
    </row>
    <row r="57" spans="2:11" s="28" customFormat="1" ht="19.899999999999999" customHeight="1">
      <c r="B57" s="96">
        <v>4</v>
      </c>
      <c r="C57" s="317"/>
      <c r="D57" s="317"/>
      <c r="E57" s="318"/>
      <c r="F57" s="97" t="str">
        <f t="shared" si="2"/>
        <v/>
      </c>
      <c r="G57" s="97" t="str">
        <f t="shared" si="3"/>
        <v/>
      </c>
      <c r="H57" s="97" t="str">
        <f t="shared" si="4"/>
        <v/>
      </c>
      <c r="I57" s="35"/>
      <c r="J57" s="35"/>
      <c r="K57" s="30"/>
    </row>
    <row r="58" spans="2:11" s="28" customFormat="1" ht="19.899999999999999" customHeight="1">
      <c r="B58" s="96">
        <v>5</v>
      </c>
      <c r="C58" s="317"/>
      <c r="D58" s="317"/>
      <c r="E58" s="318"/>
      <c r="F58" s="97" t="str">
        <f t="shared" si="2"/>
        <v/>
      </c>
      <c r="G58" s="97" t="str">
        <f t="shared" si="3"/>
        <v/>
      </c>
      <c r="H58" s="97" t="str">
        <f t="shared" si="4"/>
        <v/>
      </c>
      <c r="I58" s="35"/>
      <c r="J58" s="35"/>
      <c r="K58" s="30"/>
    </row>
    <row r="59" spans="2:11" s="28" customFormat="1" ht="19.899999999999999" customHeight="1">
      <c r="B59" s="96">
        <v>6</v>
      </c>
      <c r="C59" s="317"/>
      <c r="D59" s="317"/>
      <c r="E59" s="318"/>
      <c r="F59" s="97" t="str">
        <f t="shared" si="2"/>
        <v/>
      </c>
      <c r="G59" s="97" t="str">
        <f t="shared" si="3"/>
        <v/>
      </c>
      <c r="H59" s="97" t="str">
        <f t="shared" si="4"/>
        <v/>
      </c>
      <c r="I59" s="35"/>
      <c r="J59" s="35"/>
      <c r="K59" s="30"/>
    </row>
    <row r="60" spans="2:11" s="28" customFormat="1" ht="19.899999999999999" customHeight="1">
      <c r="B60" s="96">
        <v>7</v>
      </c>
      <c r="C60" s="317"/>
      <c r="D60" s="317"/>
      <c r="E60" s="318"/>
      <c r="F60" s="97" t="str">
        <f t="shared" si="2"/>
        <v/>
      </c>
      <c r="G60" s="97" t="str">
        <f t="shared" si="3"/>
        <v/>
      </c>
      <c r="H60" s="97" t="str">
        <f t="shared" si="4"/>
        <v/>
      </c>
      <c r="I60" s="35"/>
      <c r="J60" s="35"/>
      <c r="K60" s="30"/>
    </row>
    <row r="61" spans="2:11" s="28" customFormat="1" ht="19.899999999999999" customHeight="1">
      <c r="B61" s="96">
        <v>8</v>
      </c>
      <c r="C61" s="317"/>
      <c r="D61" s="317"/>
      <c r="E61" s="318"/>
      <c r="F61" s="97" t="str">
        <f t="shared" si="2"/>
        <v/>
      </c>
      <c r="G61" s="97" t="str">
        <f t="shared" si="3"/>
        <v/>
      </c>
      <c r="H61" s="97" t="str">
        <f t="shared" si="4"/>
        <v/>
      </c>
      <c r="I61" s="35"/>
      <c r="J61" s="35"/>
      <c r="K61" s="30"/>
    </row>
    <row r="62" spans="2:11" s="28" customFormat="1" ht="19.899999999999999" customHeight="1">
      <c r="B62" s="96">
        <v>9</v>
      </c>
      <c r="C62" s="317"/>
      <c r="D62" s="317"/>
      <c r="E62" s="318"/>
      <c r="F62" s="97" t="str">
        <f t="shared" si="2"/>
        <v/>
      </c>
      <c r="G62" s="97" t="str">
        <f t="shared" si="3"/>
        <v/>
      </c>
      <c r="H62" s="97" t="str">
        <f t="shared" si="4"/>
        <v/>
      </c>
      <c r="I62" s="35"/>
      <c r="J62" s="35"/>
      <c r="K62" s="30"/>
    </row>
    <row r="63" spans="2:11" s="28" customFormat="1" ht="19.899999999999999" customHeight="1">
      <c r="B63" s="96">
        <v>10</v>
      </c>
      <c r="C63" s="317"/>
      <c r="D63" s="317"/>
      <c r="E63" s="318"/>
      <c r="F63" s="29" t="str">
        <f t="shared" si="2"/>
        <v/>
      </c>
      <c r="G63" s="29" t="str">
        <f t="shared" si="3"/>
        <v/>
      </c>
      <c r="H63" s="29" t="str">
        <f t="shared" si="4"/>
        <v/>
      </c>
      <c r="I63" s="35"/>
      <c r="J63" s="35"/>
      <c r="K63" s="30"/>
    </row>
    <row r="64" spans="2:11" s="28" customFormat="1" ht="19.899999999999999" customHeight="1">
      <c r="B64" s="96">
        <v>11</v>
      </c>
      <c r="C64" s="317"/>
      <c r="D64" s="317"/>
      <c r="E64" s="318"/>
      <c r="F64" s="29" t="str">
        <f t="shared" si="2"/>
        <v/>
      </c>
      <c r="G64" s="29" t="str">
        <f t="shared" si="3"/>
        <v/>
      </c>
      <c r="H64" s="29" t="str">
        <f t="shared" si="4"/>
        <v/>
      </c>
      <c r="I64" s="35"/>
      <c r="J64" s="35"/>
      <c r="K64" s="30"/>
    </row>
    <row r="65" spans="2:11" s="28" customFormat="1" ht="19.899999999999999" customHeight="1" thickBot="1">
      <c r="B65" s="98">
        <v>12</v>
      </c>
      <c r="C65" s="319"/>
      <c r="D65" s="319"/>
      <c r="E65" s="320"/>
      <c r="F65" s="31" t="str">
        <f t="shared" si="2"/>
        <v/>
      </c>
      <c r="G65" s="31" t="str">
        <f t="shared" si="3"/>
        <v/>
      </c>
      <c r="H65" s="31" t="str">
        <f t="shared" si="4"/>
        <v/>
      </c>
      <c r="I65" s="37"/>
      <c r="J65" s="37"/>
      <c r="K65" s="32"/>
    </row>
    <row r="66" spans="2:11" ht="15"/>
    <row r="67" spans="2:11" ht="15" hidden="1"/>
    <row r="68" spans="2:11" ht="14.45" customHeight="1"/>
  </sheetData>
  <sheetProtection algorithmName="SHA-512" hashValue="ImEl99P19R9EBydspHdd+Ks7f4T6xvT0b63a7tiq3hXFb0rr7ltRTJvWnAUHlXZiGqachmQgVp9WGNPvCTr/BQ==" saltValue="cUiku4lSVcTOniqhLFitrw==" spinCount="100000" sheet="1" objects="1" scenarios="1" selectLockedCells="1" autoFilter="0"/>
  <mergeCells count="17">
    <mergeCell ref="E2:J4"/>
    <mergeCell ref="E11:F11"/>
    <mergeCell ref="B9:C9"/>
    <mergeCell ref="E9:F9"/>
    <mergeCell ref="H9:J9"/>
    <mergeCell ref="B10:C10"/>
    <mergeCell ref="E10:F10"/>
    <mergeCell ref="H10:J10"/>
    <mergeCell ref="H11:J11"/>
    <mergeCell ref="B11:C11"/>
    <mergeCell ref="B50:K50"/>
    <mergeCell ref="F51:H51"/>
    <mergeCell ref="B12:C12"/>
    <mergeCell ref="E12:F12"/>
    <mergeCell ref="E15:F15"/>
    <mergeCell ref="E24:F24"/>
    <mergeCell ref="B16:C16"/>
  </mergeCells>
  <dataValidations count="2">
    <dataValidation type="list" allowBlank="1" showInputMessage="1" showErrorMessage="1" sqref="E24" xr:uid="{00000000-0002-0000-0700-000000000000}">
      <formula1>$G$24:$H$24</formula1>
    </dataValidation>
    <dataValidation type="list" allowBlank="1" showInputMessage="1" showErrorMessage="1" sqref="E16" xr:uid="{F0038112-0B3D-4FC8-8037-A4A30A747EAC}">
      <formula1>$M$16:$M$17</formula1>
    </dataValidation>
  </dataValidations>
  <pageMargins left="0.7" right="0.7" top="0.78740157499999996" bottom="0.78740157499999996" header="0.3" footer="0.3"/>
  <pageSetup paperSize="9" scale="64" orientation="portrait" r:id="rId1"/>
  <colBreaks count="1" manualBreakCount="1">
    <brk id="12"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S68"/>
  <sheetViews>
    <sheetView workbookViewId="0">
      <selection activeCell="E34" sqref="E34"/>
    </sheetView>
  </sheetViews>
  <sheetFormatPr baseColWidth="10" defaultColWidth="0" defaultRowHeight="14.45" customHeight="1" zeroHeight="1"/>
  <cols>
    <col min="1" max="1" width="4.7109375" customWidth="1"/>
    <col min="2" max="2" width="8.28515625" customWidth="1"/>
    <col min="3" max="3" width="24.85546875" customWidth="1"/>
    <col min="4" max="4" width="7.85546875" style="23" hidden="1" customWidth="1"/>
    <col min="5" max="5" width="12.28515625" customWidth="1"/>
    <col min="6" max="8" width="14.42578125" customWidth="1"/>
    <col min="9" max="10" width="11.42578125" customWidth="1"/>
    <col min="11" max="11" width="12.7109375" bestFit="1" customWidth="1"/>
    <col min="12" max="12" width="5.28515625" customWidth="1"/>
    <col min="13" max="16384" width="11.42578125" hidden="1"/>
  </cols>
  <sheetData>
    <row r="1" spans="1:19" ht="15.75" thickBot="1">
      <c r="A1" s="27" t="str">
        <f ca="1">MID(CELL("dateiname",A1),SEARCH("]",CELL("dateiname",A1))+1,31)</f>
        <v>TF (6)</v>
      </c>
    </row>
    <row r="2" spans="1:19" ht="15" customHeight="1">
      <c r="B2" s="389"/>
      <c r="C2" s="390"/>
      <c r="D2" s="390"/>
      <c r="E2" s="666" t="str">
        <f>_Dok_Titel</f>
        <v>Planungshilfe
Solar- und Photovoltaikanlagen auf Schrägdächern (Art. 77 Abs. 3 und 4 BZR)
Formular-Release 2.5</v>
      </c>
      <c r="F2" s="666"/>
      <c r="G2" s="666"/>
      <c r="H2" s="666"/>
      <c r="I2" s="666"/>
      <c r="J2" s="666"/>
      <c r="K2" s="391"/>
    </row>
    <row r="3" spans="1:19" ht="15" customHeight="1">
      <c r="B3" s="392"/>
      <c r="C3" s="393"/>
      <c r="D3" s="393"/>
      <c r="E3" s="667"/>
      <c r="F3" s="667"/>
      <c r="G3" s="667"/>
      <c r="H3" s="667"/>
      <c r="I3" s="667"/>
      <c r="J3" s="667"/>
      <c r="K3" s="394"/>
    </row>
    <row r="4" spans="1:19" ht="34.15" customHeight="1" thickBot="1">
      <c r="B4" s="395"/>
      <c r="C4" s="396"/>
      <c r="D4" s="396"/>
      <c r="E4" s="668"/>
      <c r="F4" s="668"/>
      <c r="G4" s="668"/>
      <c r="H4" s="668"/>
      <c r="I4" s="668"/>
      <c r="J4" s="668"/>
      <c r="K4" s="397"/>
    </row>
    <row r="5" spans="1:19" ht="15.75" thickBot="1"/>
    <row r="6" spans="1:19" s="21" customFormat="1" ht="21.75" thickBot="1">
      <c r="B6" s="18" t="str">
        <f ca="1">"Zusammenstellung Kennwerte Teilfläche "&amp;MID(CELL("dateiname",A1),SEARCH("]",CELL("dateiname",A1))+1,31)</f>
        <v>Zusammenstellung Kennwerte Teilfläche TF (6)</v>
      </c>
      <c r="C6" s="19"/>
      <c r="D6" s="48"/>
      <c r="E6" s="19"/>
      <c r="F6" s="19"/>
      <c r="G6" s="19"/>
      <c r="H6" s="19"/>
      <c r="I6" s="19"/>
      <c r="J6" s="19"/>
      <c r="K6" s="20"/>
      <c r="O6"/>
      <c r="P6"/>
      <c r="Q6"/>
      <c r="R6"/>
      <c r="S6"/>
    </row>
    <row r="7" spans="1:19" ht="15.75" thickBot="1"/>
    <row r="8" spans="1:19" s="21" customFormat="1" ht="21.75" thickBot="1">
      <c r="B8" s="18" t="s">
        <v>26</v>
      </c>
      <c r="C8" s="19"/>
      <c r="D8" s="48"/>
      <c r="E8" s="19"/>
      <c r="F8" s="19"/>
      <c r="G8" s="19"/>
      <c r="H8" s="19"/>
      <c r="I8" s="19"/>
      <c r="J8" s="19"/>
      <c r="K8" s="20"/>
      <c r="O8"/>
      <c r="P8"/>
      <c r="Q8"/>
      <c r="R8"/>
      <c r="S8"/>
    </row>
    <row r="9" spans="1:19" s="28" customFormat="1" ht="19.899999999999999" customHeight="1">
      <c r="B9" s="551" t="str">
        <f>Bericht!B7</f>
        <v>Projektname</v>
      </c>
      <c r="C9" s="552"/>
      <c r="D9" s="415"/>
      <c r="E9" s="669">
        <f>_Projektname</f>
        <v>0</v>
      </c>
      <c r="F9" s="669"/>
      <c r="G9" s="426"/>
      <c r="H9" s="649" t="str">
        <f>Bericht!J7</f>
        <v>Netzversorger:</v>
      </c>
      <c r="I9" s="649"/>
      <c r="J9" s="649"/>
      <c r="K9" s="138" t="str">
        <f>_Netzversorger</f>
        <v>ckw</v>
      </c>
    </row>
    <row r="10" spans="1:19" s="28" customFormat="1" ht="19.899999999999999" customHeight="1">
      <c r="B10" s="553" t="str">
        <f>Bericht!B8</f>
        <v>Adresse</v>
      </c>
      <c r="C10" s="554"/>
      <c r="D10" s="416"/>
      <c r="E10" s="670">
        <f>_Adresse</f>
        <v>0</v>
      </c>
      <c r="F10" s="670"/>
      <c r="G10" s="427"/>
      <c r="H10" s="650" t="str">
        <f>Bericht!J8</f>
        <v>Geplantes Datum Fertigstellung:</v>
      </c>
      <c r="I10" s="650"/>
      <c r="J10" s="650"/>
      <c r="K10" s="139">
        <f>_Datum_IBS</f>
        <v>0</v>
      </c>
      <c r="L10" s="410"/>
    </row>
    <row r="11" spans="1:19" s="28" customFormat="1" ht="19.899999999999999" customHeight="1">
      <c r="B11" s="553" t="str">
        <f>Bericht!B9</f>
        <v>PLZ Ort</v>
      </c>
      <c r="C11" s="554"/>
      <c r="D11" s="416"/>
      <c r="E11" s="670">
        <f>_PLZ</f>
        <v>0</v>
      </c>
      <c r="F11" s="670"/>
      <c r="G11" s="427"/>
      <c r="H11" s="650" t="s">
        <v>277</v>
      </c>
      <c r="I11" s="650"/>
      <c r="J11" s="650"/>
      <c r="K11" s="409">
        <f>_Letzte_REV</f>
        <v>46042</v>
      </c>
      <c r="L11" s="411"/>
    </row>
    <row r="12" spans="1:19" s="28" customFormat="1" ht="19.899999999999999" customHeight="1" thickBot="1">
      <c r="B12" s="680" t="s">
        <v>138</v>
      </c>
      <c r="C12" s="681"/>
      <c r="D12" s="31"/>
      <c r="E12" s="556">
        <f>Bericht!D10</f>
        <v>0</v>
      </c>
      <c r="F12" s="556"/>
      <c r="G12" s="428"/>
      <c r="H12" s="31" t="s">
        <v>278</v>
      </c>
      <c r="I12" s="31"/>
      <c r="J12" s="31"/>
      <c r="K12" s="358">
        <f>_Nächste_REV</f>
        <v>46357</v>
      </c>
      <c r="L12" s="411"/>
    </row>
    <row r="13" spans="1:19" ht="15.75" thickBot="1"/>
    <row r="14" spans="1:19" s="21" customFormat="1" ht="21.75" thickBot="1">
      <c r="B14" s="18" t="s">
        <v>75</v>
      </c>
      <c r="C14" s="19"/>
      <c r="D14" s="48"/>
      <c r="E14" s="19"/>
      <c r="F14" s="19"/>
      <c r="G14" s="19"/>
      <c r="H14" s="19"/>
      <c r="I14" s="19"/>
      <c r="J14" s="19"/>
      <c r="K14" s="20"/>
      <c r="O14"/>
      <c r="P14"/>
      <c r="Q14"/>
      <c r="R14"/>
      <c r="S14"/>
    </row>
    <row r="15" spans="1:19" s="28" customFormat="1" ht="19.899999999999999" customHeight="1">
      <c r="B15" s="40" t="s">
        <v>93</v>
      </c>
      <c r="C15" s="41"/>
      <c r="D15" s="42" t="s">
        <v>155</v>
      </c>
      <c r="E15" s="679"/>
      <c r="F15" s="679"/>
      <c r="G15" s="41"/>
      <c r="H15" s="41"/>
      <c r="I15" s="41"/>
      <c r="J15" s="41"/>
      <c r="K15" s="39"/>
    </row>
    <row r="16" spans="1:19" s="28" customFormat="1" ht="19.899999999999999" customHeight="1">
      <c r="B16" s="682" t="s">
        <v>355</v>
      </c>
      <c r="C16" s="616"/>
      <c r="D16" s="66" t="s">
        <v>366</v>
      </c>
      <c r="E16" s="489" t="s">
        <v>358</v>
      </c>
      <c r="F16" s="29"/>
      <c r="G16" s="73" t="s">
        <v>356</v>
      </c>
      <c r="H16" s="73"/>
      <c r="I16" s="73"/>
      <c r="J16" s="73"/>
      <c r="K16" s="74"/>
      <c r="M16" s="28" t="s">
        <v>357</v>
      </c>
    </row>
    <row r="17" spans="2:19" s="28" customFormat="1" ht="19.899999999999999" customHeight="1">
      <c r="B17" s="72" t="s">
        <v>96</v>
      </c>
      <c r="C17" s="73"/>
      <c r="D17" s="66" t="s">
        <v>129</v>
      </c>
      <c r="E17" s="270"/>
      <c r="F17" s="65" t="s">
        <v>127</v>
      </c>
      <c r="G17" s="73" t="s">
        <v>234</v>
      </c>
      <c r="H17" s="73"/>
      <c r="I17" s="73"/>
      <c r="J17" s="73"/>
      <c r="K17" s="74"/>
      <c r="M17" s="28" t="s">
        <v>358</v>
      </c>
    </row>
    <row r="18" spans="2:19" s="28" customFormat="1" ht="19.899999999999999" customHeight="1">
      <c r="B18" s="33" t="s">
        <v>94</v>
      </c>
      <c r="C18" s="35"/>
      <c r="D18" s="34" t="s">
        <v>37</v>
      </c>
      <c r="E18" s="271"/>
      <c r="F18" s="29" t="s">
        <v>54</v>
      </c>
      <c r="G18" s="35" t="s">
        <v>67</v>
      </c>
      <c r="H18" s="35"/>
      <c r="I18" s="35"/>
      <c r="J18" s="35"/>
      <c r="K18" s="30"/>
    </row>
    <row r="19" spans="2:19" s="28" customFormat="1" ht="19.899999999999999" customHeight="1" thickBot="1">
      <c r="B19" s="36" t="s">
        <v>95</v>
      </c>
      <c r="C19" s="37"/>
      <c r="D19" s="71" t="s">
        <v>38</v>
      </c>
      <c r="E19" s="272"/>
      <c r="F19" s="31" t="s">
        <v>54</v>
      </c>
      <c r="G19" s="37" t="s">
        <v>68</v>
      </c>
      <c r="H19" s="37"/>
      <c r="I19" s="37"/>
      <c r="J19" s="37"/>
      <c r="K19" s="32"/>
    </row>
    <row r="20" spans="2:19" s="23" customFormat="1" ht="15" hidden="1" customHeight="1">
      <c r="C20" s="23" t="s">
        <v>74</v>
      </c>
      <c r="E20" s="23">
        <f>RADIANS(E18)</f>
        <v>0</v>
      </c>
    </row>
    <row r="21" spans="2:19" s="23" customFormat="1" ht="15" hidden="1">
      <c r="C21" s="23" t="s">
        <v>71</v>
      </c>
      <c r="E21" s="23">
        <f>-RADIANS(E19)</f>
        <v>0</v>
      </c>
    </row>
    <row r="22" spans="2:19" ht="15.75" thickBot="1"/>
    <row r="23" spans="2:19" s="21" customFormat="1" ht="21.75" thickBot="1">
      <c r="B23" s="18" t="s">
        <v>50</v>
      </c>
      <c r="C23" s="19"/>
      <c r="D23" s="48"/>
      <c r="E23" s="19"/>
      <c r="F23" s="19"/>
      <c r="G23" s="19"/>
      <c r="H23" s="19"/>
      <c r="I23" s="19"/>
      <c r="J23" s="19"/>
      <c r="K23" s="20"/>
      <c r="O23"/>
      <c r="P23"/>
      <c r="Q23"/>
      <c r="R23"/>
      <c r="S23"/>
    </row>
    <row r="24" spans="2:19" s="28" customFormat="1" ht="19.899999999999999" customHeight="1">
      <c r="B24" s="40" t="s">
        <v>51</v>
      </c>
      <c r="C24" s="41"/>
      <c r="D24" s="42" t="s">
        <v>76</v>
      </c>
      <c r="E24" s="687" t="s">
        <v>105</v>
      </c>
      <c r="F24" s="687"/>
      <c r="G24" s="41" t="s">
        <v>104</v>
      </c>
      <c r="H24" s="41" t="s">
        <v>105</v>
      </c>
      <c r="I24" s="41"/>
      <c r="J24" s="41"/>
      <c r="K24" s="39"/>
    </row>
    <row r="25" spans="2:19" s="28" customFormat="1" ht="19.899999999999999" customHeight="1">
      <c r="B25" s="72" t="s">
        <v>229</v>
      </c>
      <c r="C25" s="73"/>
      <c r="D25" s="66" t="s">
        <v>235</v>
      </c>
      <c r="E25" s="485" t="str">
        <f>IF((ABS($E18)+_AbweichungNord)&gt;180,"Satiniert","Standard")</f>
        <v>Standard</v>
      </c>
      <c r="F25" s="485"/>
      <c r="G25" s="73"/>
      <c r="H25" s="73"/>
      <c r="I25" s="73"/>
      <c r="J25" s="73"/>
      <c r="K25" s="74"/>
    </row>
    <row r="26" spans="2:19" s="28" customFormat="1" ht="19.899999999999999" customHeight="1">
      <c r="B26" s="33" t="s">
        <v>49</v>
      </c>
      <c r="C26" s="35"/>
      <c r="D26" s="34" t="s">
        <v>40</v>
      </c>
      <c r="E26" s="29">
        <f>IF((ABS($E18)+_AbweichungNord)&gt;180,_Modulleistung_Satin,_Modulleistung_Standard)</f>
        <v>485</v>
      </c>
      <c r="F26" s="29" t="s">
        <v>58</v>
      </c>
      <c r="G26" s="35" t="str">
        <f ca="1">"Modulleistung definiert im Tab "&amp;Datengrundlage!A1&amp;""</f>
        <v>Modulleistung definiert im Tab Datengrundlage</v>
      </c>
      <c r="H26" s="35"/>
      <c r="I26" s="35"/>
      <c r="J26" s="35"/>
      <c r="K26" s="30"/>
    </row>
    <row r="27" spans="2:19" s="28" customFormat="1" ht="19.899999999999999" customHeight="1">
      <c r="B27" s="33" t="s">
        <v>196</v>
      </c>
      <c r="C27" s="35"/>
      <c r="D27" s="34" t="s">
        <v>97</v>
      </c>
      <c r="E27" s="273"/>
      <c r="F27" s="29" t="s">
        <v>99</v>
      </c>
      <c r="G27" s="35" t="s">
        <v>202</v>
      </c>
      <c r="H27" s="35"/>
      <c r="I27" s="35"/>
      <c r="J27" s="35"/>
      <c r="K27" s="30"/>
    </row>
    <row r="28" spans="2:19" s="28" customFormat="1" ht="19.899999999999999" customHeight="1" thickBot="1">
      <c r="B28" s="36" t="s">
        <v>195</v>
      </c>
      <c r="C28" s="37"/>
      <c r="D28" s="71" t="s">
        <v>154</v>
      </c>
      <c r="E28" s="313">
        <f>E27</f>
        <v>0</v>
      </c>
      <c r="F28" s="31" t="s">
        <v>99</v>
      </c>
      <c r="G28" s="37" t="s">
        <v>203</v>
      </c>
      <c r="H28" s="37"/>
      <c r="I28" s="37"/>
      <c r="J28" s="37"/>
      <c r="K28" s="32"/>
    </row>
    <row r="29" spans="2:19" ht="15.75" thickBot="1"/>
    <row r="30" spans="2:19" s="21" customFormat="1" ht="21.75" thickBot="1">
      <c r="B30" s="18" t="s">
        <v>281</v>
      </c>
      <c r="C30" s="19"/>
      <c r="D30" s="48"/>
      <c r="E30" s="19"/>
      <c r="F30" s="19"/>
      <c r="G30" s="19"/>
      <c r="H30" s="19"/>
      <c r="I30" s="19"/>
      <c r="J30" s="19"/>
      <c r="K30" s="20"/>
      <c r="O30"/>
      <c r="P30"/>
      <c r="Q30"/>
      <c r="R30"/>
      <c r="S30"/>
    </row>
    <row r="31" spans="2:19" s="28" customFormat="1" ht="19.899999999999999" customHeight="1">
      <c r="B31" s="40" t="s">
        <v>120</v>
      </c>
      <c r="C31" s="41"/>
      <c r="D31" s="42"/>
      <c r="E31" s="76">
        <f>_Spez_Ertrag_Standort</f>
        <v>900</v>
      </c>
      <c r="F31" s="75" t="s">
        <v>123</v>
      </c>
      <c r="G31" s="41" t="str">
        <f>"Spez. Ertrag am Standort"</f>
        <v>Spez. Ertrag am Standort</v>
      </c>
      <c r="H31" s="41"/>
      <c r="I31" s="41"/>
      <c r="J31" s="41"/>
      <c r="K31" s="39"/>
    </row>
    <row r="32" spans="2:19" s="28" customFormat="1" ht="19.899999999999999" customHeight="1">
      <c r="B32" s="33" t="s">
        <v>119</v>
      </c>
      <c r="C32" s="35"/>
      <c r="D32" s="34"/>
      <c r="E32" s="77" cm="1">
        <f t="array" ref="E32">INDEX(_Faktor_Ausrichtung,ROUND(((E19/_RasterNeigung))+1,0),ROUND((((E18)/_RasterAzimut))+180/_RasterAzimut+1,0),1)</f>
        <v>1</v>
      </c>
      <c r="F32" s="29"/>
      <c r="G32" s="35" t="s">
        <v>115</v>
      </c>
      <c r="H32" s="35"/>
      <c r="I32" s="35"/>
      <c r="J32" s="35"/>
      <c r="K32" s="30"/>
    </row>
    <row r="33" spans="2:19" s="44" customFormat="1" ht="19.899999999999999" hidden="1" customHeight="1">
      <c r="B33" s="43" t="s">
        <v>121</v>
      </c>
      <c r="C33" s="34"/>
      <c r="D33" s="34"/>
      <c r="E33" s="47">
        <f>E31*E32</f>
        <v>900</v>
      </c>
      <c r="F33" s="45" t="s">
        <v>123</v>
      </c>
      <c r="G33" s="34" t="s">
        <v>116</v>
      </c>
      <c r="H33" s="34"/>
      <c r="I33" s="34"/>
      <c r="J33" s="34"/>
      <c r="K33" s="46"/>
    </row>
    <row r="34" spans="2:19" s="28" customFormat="1" ht="19.899999999999999" customHeight="1">
      <c r="B34" s="33" t="s">
        <v>148</v>
      </c>
      <c r="C34" s="35"/>
      <c r="D34" s="34" t="s">
        <v>151</v>
      </c>
      <c r="E34" s="314"/>
      <c r="F34" s="29" t="s">
        <v>123</v>
      </c>
      <c r="G34" s="35" t="s">
        <v>117</v>
      </c>
      <c r="H34" s="35"/>
      <c r="I34" s="35"/>
      <c r="J34" s="35"/>
      <c r="K34" s="30"/>
    </row>
    <row r="35" spans="2:19" s="28" customFormat="1" ht="19.899999999999999" customHeight="1" thickBot="1">
      <c r="B35" s="36" t="s">
        <v>122</v>
      </c>
      <c r="C35" s="37"/>
      <c r="D35" s="71" t="s">
        <v>77</v>
      </c>
      <c r="E35" s="78">
        <f>IF(ISNUMBER(E34),E34,E33)</f>
        <v>900</v>
      </c>
      <c r="F35" s="31" t="s">
        <v>123</v>
      </c>
      <c r="G35" s="37" t="s">
        <v>118</v>
      </c>
      <c r="H35" s="37"/>
      <c r="I35" s="37"/>
      <c r="J35" s="37"/>
      <c r="K35" s="32"/>
    </row>
    <row r="36" spans="2:19" ht="15.75" thickBot="1"/>
    <row r="37" spans="2:19" s="21" customFormat="1" ht="21.75" thickBot="1">
      <c r="B37" s="18" t="s">
        <v>350</v>
      </c>
      <c r="C37" s="19"/>
      <c r="D37" s="48"/>
      <c r="E37" s="19"/>
      <c r="F37" s="19"/>
      <c r="G37" s="19"/>
      <c r="H37" s="19"/>
      <c r="I37" s="19"/>
      <c r="J37" s="19"/>
      <c r="K37" s="20"/>
      <c r="O37"/>
      <c r="P37"/>
      <c r="Q37"/>
      <c r="R37"/>
      <c r="S37"/>
    </row>
    <row r="38" spans="2:19" s="28" customFormat="1" ht="19.899999999999999" customHeight="1">
      <c r="B38" s="40" t="s">
        <v>351</v>
      </c>
      <c r="C38" s="41"/>
      <c r="D38" s="42" t="s">
        <v>365</v>
      </c>
      <c r="E38" s="76">
        <f>IF(AND(E19&gt;=_Neigungswinkel_für_NB_Bund,E19&lt;=90),E27*E26/1000*_Neigungswinkelbonus_Bund,0)</f>
        <v>0</v>
      </c>
      <c r="F38" s="483" t="s">
        <v>353</v>
      </c>
      <c r="G38" s="41"/>
      <c r="H38" s="76">
        <f>IF(AND(E19&gt;=_Neigungswinkel_für_NB_Bund,E19&lt;=90),E28*E26/1000*_Neigungswinkelbonus_Bund,0)</f>
        <v>0</v>
      </c>
      <c r="I38" s="41" t="s">
        <v>354</v>
      </c>
      <c r="J38" s="41"/>
      <c r="K38" s="39"/>
    </row>
    <row r="39" spans="2:19" s="28" customFormat="1" ht="19.899999999999999" customHeight="1">
      <c r="B39" s="33" t="s">
        <v>359</v>
      </c>
      <c r="C39" s="35"/>
      <c r="D39" s="34" t="s">
        <v>364</v>
      </c>
      <c r="E39" s="482">
        <f>IFERROR(IF(AND(E16=M16,E27*E26/1000&gt;=_Schwelle_PPBonus),E27*E26/1000*_Parkplatzbonus_pronovo,0),0)</f>
        <v>0</v>
      </c>
      <c r="F39" s="29" t="s">
        <v>353</v>
      </c>
      <c r="G39" s="35"/>
      <c r="H39" s="482">
        <f>IFERROR(IF(AND(E16=M16,E28*E26/1000&gt;=_Schwelle_PPBonus),E28*E26/1000*_Parkplatzbonus_pronovo,0),0)</f>
        <v>0</v>
      </c>
      <c r="I39" s="35" t="s">
        <v>354</v>
      </c>
      <c r="J39" s="35"/>
      <c r="K39" s="30"/>
    </row>
    <row r="40" spans="2:19" s="28" customFormat="1" ht="19.899999999999999" customHeight="1">
      <c r="B40" s="33" t="s">
        <v>352</v>
      </c>
      <c r="C40" s="35"/>
      <c r="D40" s="34" t="s">
        <v>362</v>
      </c>
      <c r="E40" s="482">
        <f>IFERROR(IF(AND(E19&gt;=_Neigungswinkel_für_NB_Bund,E19&lt;=90),E27*_Modullänge_Standard*_Modulbreite_Standard*_ZuschlagSteil_Stadt,0),0)</f>
        <v>0</v>
      </c>
      <c r="F40" s="29" t="s">
        <v>353</v>
      </c>
      <c r="G40" s="35"/>
      <c r="H40" s="482">
        <f>IFERROR(IF(AND(E19&gt;=_Neigungswinkel_für_NB_Bund,E19&lt;=90),E28*_Modullänge_Standard*_Modulbreite_Standard*_ZuschlagSteil_Stadt,0),0)</f>
        <v>0</v>
      </c>
      <c r="I40" s="35" t="s">
        <v>354</v>
      </c>
      <c r="J40" s="35"/>
      <c r="K40" s="30"/>
    </row>
    <row r="41" spans="2:19" s="28" customFormat="1" ht="19.899999999999999" customHeight="1" thickBot="1">
      <c r="B41" s="36" t="s">
        <v>337</v>
      </c>
      <c r="C41" s="37"/>
      <c r="D41" s="71" t="s">
        <v>363</v>
      </c>
      <c r="E41" s="78">
        <f>IF(AND((ABS($E18)+_AbweichungNord)&gt;=180,E19&lt;_Neigungswinkel_für_NB_Bund),E27*E26/1000*_ZuschlagNord_Stadt,0)</f>
        <v>0</v>
      </c>
      <c r="F41" s="31" t="s">
        <v>353</v>
      </c>
      <c r="G41" s="37"/>
      <c r="H41" s="78">
        <f>IF(AND((ABS($E18)+_AbweichungNord)&gt;=180,E19&lt;_Neigungswinkel_für_NB_Bund),E28*E26/1000*_ZuschlagNord_Stadt,0)</f>
        <v>0</v>
      </c>
      <c r="I41" s="37" t="s">
        <v>354</v>
      </c>
      <c r="J41" s="37"/>
      <c r="K41" s="32"/>
    </row>
    <row r="42" spans="2:19" ht="15.75" thickBot="1"/>
    <row r="43" spans="2:19" s="21" customFormat="1" ht="21.75" thickBot="1">
      <c r="B43" s="18" t="s">
        <v>189</v>
      </c>
      <c r="C43" s="19"/>
      <c r="D43" s="48"/>
      <c r="E43" s="19"/>
      <c r="F43" s="19"/>
      <c r="G43" s="19"/>
      <c r="H43" s="19"/>
      <c r="I43" s="19"/>
      <c r="J43" s="19"/>
      <c r="K43" s="20"/>
      <c r="O43"/>
      <c r="P43"/>
      <c r="Q43"/>
      <c r="R43"/>
      <c r="S43"/>
    </row>
    <row r="44" spans="2:19" s="23" customFormat="1" ht="15" hidden="1">
      <c r="B44" s="79"/>
      <c r="D44" s="23" t="s">
        <v>84</v>
      </c>
      <c r="F44" s="23">
        <v>-90</v>
      </c>
      <c r="G44" s="23">
        <v>-180</v>
      </c>
      <c r="H44" s="23">
        <v>90</v>
      </c>
      <c r="K44" s="80"/>
    </row>
    <row r="45" spans="2:19" s="23" customFormat="1" ht="15" hidden="1">
      <c r="B45" s="79"/>
      <c r="D45" s="23" t="s">
        <v>69</v>
      </c>
      <c r="F45" s="81">
        <f>RADIANS(F44)</f>
        <v>-1.5707963267948966</v>
      </c>
      <c r="G45" s="81">
        <f t="shared" ref="G45:H45" si="0">RADIANS(G44)</f>
        <v>-3.1415926535897931</v>
      </c>
      <c r="H45" s="81">
        <f t="shared" si="0"/>
        <v>1.5707963267948966</v>
      </c>
      <c r="K45" s="80"/>
    </row>
    <row r="46" spans="2:19" s="23" customFormat="1" ht="15" hidden="1">
      <c r="B46" s="79"/>
      <c r="D46" s="23" t="s">
        <v>70</v>
      </c>
      <c r="F46" s="23">
        <v>1</v>
      </c>
      <c r="G46" s="23">
        <v>3</v>
      </c>
      <c r="H46" s="23">
        <v>1</v>
      </c>
      <c r="K46" s="80"/>
    </row>
    <row r="47" spans="2:19" s="23" customFormat="1" ht="15" hidden="1">
      <c r="B47" s="79"/>
      <c r="D47" s="23" t="s">
        <v>85</v>
      </c>
      <c r="F47" s="82">
        <f>$F$46*SIN(ATAN(1/$F$46))/SIN(ASIN(SIN($E$21)*COS($F$45-PI()+$E$20))+ATAN(1/$F$46))</f>
        <v>1</v>
      </c>
      <c r="G47" s="82">
        <f>$G$46*SIN(ATAN(1/$G$46))/SIN(ASIN(SIN(-$E$21)*COS($G$45-PI()+$E$20))+ATAN(1/$G$46))</f>
        <v>3</v>
      </c>
      <c r="H47" s="82">
        <f>$H$46*SIN(ATAN(1/$H$46))/SIN(ASIN(SIN($E$21)*COS($H$45-PI()+$E$20))+ATAN(1/$H$46))</f>
        <v>1</v>
      </c>
      <c r="K47" s="80"/>
    </row>
    <row r="48" spans="2:19" s="23" customFormat="1" ht="15" hidden="1">
      <c r="B48" s="79"/>
      <c r="D48" s="23" t="s">
        <v>72</v>
      </c>
      <c r="F48" s="81">
        <f>ASIN(SIN($E$21)*COS(F45-$E$20))</f>
        <v>0</v>
      </c>
      <c r="G48" s="81">
        <f>ASIN(SIN($E$21)*COS(G45-$E$20))</f>
        <v>0</v>
      </c>
      <c r="H48" s="81">
        <f>ASIN(SIN($E$21)*COS(H45-$E$20))</f>
        <v>0</v>
      </c>
      <c r="K48" s="80"/>
    </row>
    <row r="49" spans="2:11" s="23" customFormat="1" ht="15" hidden="1">
      <c r="B49" s="79"/>
      <c r="D49" s="23" t="s">
        <v>73</v>
      </c>
      <c r="F49" s="83">
        <f>F48*180/PI()</f>
        <v>0</v>
      </c>
      <c r="G49" s="83">
        <f t="shared" ref="G49:H49" si="1">G48*180/PI()</f>
        <v>0</v>
      </c>
      <c r="H49" s="83">
        <f t="shared" si="1"/>
        <v>0</v>
      </c>
      <c r="K49" s="80"/>
    </row>
    <row r="50" spans="2:11" s="262" customFormat="1" ht="59.45" customHeight="1">
      <c r="B50" s="684" t="str">
        <f>"Zum Dachrand, sowie um Dachaufbauten wie Fenster, Lukarnen, Kamine, Lüftungsrohre etc. dürfen Abstände von "&amp;_Modul_Randabstand&amp;" m berücksichtigt werden. Die Verschattungsabstände durch hohe Objekte können zudem gemäss Kallkulation nach untenstehender Tabelle berücksichtigt werden. (Abstände auf der Dachfläche in die entsprechende Himmelsrichtung)"</f>
        <v>Zum Dachrand, sowie um Dachaufbauten wie Fenster, Lukarnen, Kamine, Lüftungsrohre etc. dürfen Abstände von 0.2 m berücksichtigt werden. Die Verschattungsabstände durch hohe Objekte können zudem gemäss Kallkulation nach untenstehender Tabelle berücksichtigt werden. (Abstände auf der Dachfläche in die entsprechende Himmelsrichtung)</v>
      </c>
      <c r="C50" s="685"/>
      <c r="D50" s="685"/>
      <c r="E50" s="685"/>
      <c r="F50" s="685"/>
      <c r="G50" s="685"/>
      <c r="H50" s="685"/>
      <c r="I50" s="685"/>
      <c r="J50" s="685"/>
      <c r="K50" s="686"/>
    </row>
    <row r="51" spans="2:11" s="28" customFormat="1" ht="19.899999999999999" customHeight="1">
      <c r="B51" s="49"/>
      <c r="C51" s="50"/>
      <c r="D51" s="51"/>
      <c r="E51" s="84"/>
      <c r="F51" s="683" t="s">
        <v>87</v>
      </c>
      <c r="G51" s="683"/>
      <c r="H51" s="683"/>
      <c r="K51" s="86"/>
    </row>
    <row r="52" spans="2:11" s="28" customFormat="1" ht="19.899999999999999" customHeight="1">
      <c r="B52" s="49" t="s">
        <v>91</v>
      </c>
      <c r="C52" s="50" t="s">
        <v>20</v>
      </c>
      <c r="D52" s="51"/>
      <c r="E52" s="87" t="s">
        <v>114</v>
      </c>
      <c r="F52" s="85" t="s">
        <v>88</v>
      </c>
      <c r="G52" s="85" t="s">
        <v>89</v>
      </c>
      <c r="H52" s="85" t="s">
        <v>90</v>
      </c>
      <c r="K52" s="86"/>
    </row>
    <row r="53" spans="2:11" s="28" customFormat="1" ht="19.899999999999999" customHeight="1">
      <c r="B53" s="88" t="s">
        <v>92</v>
      </c>
      <c r="C53" s="89"/>
      <c r="D53" s="90"/>
      <c r="E53" s="91" t="s">
        <v>86</v>
      </c>
      <c r="F53" s="91" t="s">
        <v>86</v>
      </c>
      <c r="G53" s="91" t="s">
        <v>86</v>
      </c>
      <c r="H53" s="91" t="s">
        <v>86</v>
      </c>
      <c r="I53" s="92"/>
      <c r="J53" s="92"/>
      <c r="K53" s="93"/>
    </row>
    <row r="54" spans="2:11" s="28" customFormat="1" ht="19.899999999999999" customHeight="1">
      <c r="B54" s="94">
        <v>1</v>
      </c>
      <c r="C54" s="315"/>
      <c r="D54" s="315"/>
      <c r="E54" s="316"/>
      <c r="F54" s="95" t="str">
        <f t="shared" ref="F54:F65" si="2">IF(ISNUMBER($E54),$E54*IF($F$47&gt;0,MIN($F$46:$F$47),MAX($F$46:$F$47)),"")</f>
        <v/>
      </c>
      <c r="G54" s="95" t="str">
        <f t="shared" ref="G54:G65" si="3">IF(ISNUMBER($E54),$E54*IF($G$47&gt;0,MIN($G$46:$G$47),MAX($G$46:$G$47)),"")</f>
        <v/>
      </c>
      <c r="H54" s="95" t="str">
        <f t="shared" ref="H54:H65" si="4">IF(ISNUMBER($E54),$E54*IF($H$47&gt;0,MIN($H$46:$H$47),MAX($H$46:$H$47)),"")</f>
        <v/>
      </c>
      <c r="I54" s="73"/>
      <c r="J54" s="73"/>
      <c r="K54" s="74"/>
    </row>
    <row r="55" spans="2:11" s="28" customFormat="1" ht="19.899999999999999" customHeight="1">
      <c r="B55" s="96">
        <v>2</v>
      </c>
      <c r="C55" s="317"/>
      <c r="D55" s="317"/>
      <c r="E55" s="318"/>
      <c r="F55" s="97" t="str">
        <f t="shared" si="2"/>
        <v/>
      </c>
      <c r="G55" s="97" t="str">
        <f t="shared" si="3"/>
        <v/>
      </c>
      <c r="H55" s="97" t="str">
        <f t="shared" si="4"/>
        <v/>
      </c>
      <c r="I55" s="35"/>
      <c r="J55" s="35"/>
      <c r="K55" s="30"/>
    </row>
    <row r="56" spans="2:11" s="28" customFormat="1" ht="19.899999999999999" customHeight="1">
      <c r="B56" s="96">
        <v>3</v>
      </c>
      <c r="C56" s="317"/>
      <c r="D56" s="317"/>
      <c r="E56" s="318"/>
      <c r="F56" s="97" t="str">
        <f t="shared" si="2"/>
        <v/>
      </c>
      <c r="G56" s="97" t="str">
        <f t="shared" si="3"/>
        <v/>
      </c>
      <c r="H56" s="97" t="str">
        <f t="shared" si="4"/>
        <v/>
      </c>
      <c r="I56" s="35"/>
      <c r="J56" s="35"/>
      <c r="K56" s="30"/>
    </row>
    <row r="57" spans="2:11" s="28" customFormat="1" ht="19.899999999999999" customHeight="1">
      <c r="B57" s="96">
        <v>4</v>
      </c>
      <c r="C57" s="317"/>
      <c r="D57" s="317"/>
      <c r="E57" s="318"/>
      <c r="F57" s="97" t="str">
        <f t="shared" si="2"/>
        <v/>
      </c>
      <c r="G57" s="97" t="str">
        <f t="shared" si="3"/>
        <v/>
      </c>
      <c r="H57" s="97" t="str">
        <f t="shared" si="4"/>
        <v/>
      </c>
      <c r="I57" s="35"/>
      <c r="J57" s="35"/>
      <c r="K57" s="30"/>
    </row>
    <row r="58" spans="2:11" s="28" customFormat="1" ht="19.899999999999999" customHeight="1">
      <c r="B58" s="96">
        <v>5</v>
      </c>
      <c r="C58" s="317"/>
      <c r="D58" s="317"/>
      <c r="E58" s="318"/>
      <c r="F58" s="97" t="str">
        <f t="shared" si="2"/>
        <v/>
      </c>
      <c r="G58" s="97" t="str">
        <f t="shared" si="3"/>
        <v/>
      </c>
      <c r="H58" s="97" t="str">
        <f t="shared" si="4"/>
        <v/>
      </c>
      <c r="I58" s="35"/>
      <c r="J58" s="35"/>
      <c r="K58" s="30"/>
    </row>
    <row r="59" spans="2:11" s="28" customFormat="1" ht="19.899999999999999" customHeight="1">
      <c r="B59" s="96">
        <v>6</v>
      </c>
      <c r="C59" s="317"/>
      <c r="D59" s="317"/>
      <c r="E59" s="318"/>
      <c r="F59" s="97" t="str">
        <f t="shared" si="2"/>
        <v/>
      </c>
      <c r="G59" s="97" t="str">
        <f t="shared" si="3"/>
        <v/>
      </c>
      <c r="H59" s="97" t="str">
        <f t="shared" si="4"/>
        <v/>
      </c>
      <c r="I59" s="35"/>
      <c r="J59" s="35"/>
      <c r="K59" s="30"/>
    </row>
    <row r="60" spans="2:11" s="28" customFormat="1" ht="19.899999999999999" customHeight="1">
      <c r="B60" s="96">
        <v>7</v>
      </c>
      <c r="C60" s="317"/>
      <c r="D60" s="317"/>
      <c r="E60" s="318"/>
      <c r="F60" s="97" t="str">
        <f t="shared" si="2"/>
        <v/>
      </c>
      <c r="G60" s="97" t="str">
        <f t="shared" si="3"/>
        <v/>
      </c>
      <c r="H60" s="97" t="str">
        <f t="shared" si="4"/>
        <v/>
      </c>
      <c r="I60" s="35"/>
      <c r="J60" s="35"/>
      <c r="K60" s="30"/>
    </row>
    <row r="61" spans="2:11" s="28" customFormat="1" ht="19.899999999999999" customHeight="1">
      <c r="B61" s="96">
        <v>8</v>
      </c>
      <c r="C61" s="317"/>
      <c r="D61" s="317"/>
      <c r="E61" s="318"/>
      <c r="F61" s="97" t="str">
        <f t="shared" si="2"/>
        <v/>
      </c>
      <c r="G61" s="97" t="str">
        <f t="shared" si="3"/>
        <v/>
      </c>
      <c r="H61" s="97" t="str">
        <f t="shared" si="4"/>
        <v/>
      </c>
      <c r="I61" s="35"/>
      <c r="J61" s="35"/>
      <c r="K61" s="30"/>
    </row>
    <row r="62" spans="2:11" s="28" customFormat="1" ht="19.899999999999999" customHeight="1">
      <c r="B62" s="96">
        <v>9</v>
      </c>
      <c r="C62" s="317"/>
      <c r="D62" s="317"/>
      <c r="E62" s="318"/>
      <c r="F62" s="97" t="str">
        <f t="shared" si="2"/>
        <v/>
      </c>
      <c r="G62" s="97" t="str">
        <f t="shared" si="3"/>
        <v/>
      </c>
      <c r="H62" s="97" t="str">
        <f t="shared" si="4"/>
        <v/>
      </c>
      <c r="I62" s="35"/>
      <c r="J62" s="35"/>
      <c r="K62" s="30"/>
    </row>
    <row r="63" spans="2:11" s="28" customFormat="1" ht="19.899999999999999" customHeight="1">
      <c r="B63" s="96">
        <v>10</v>
      </c>
      <c r="C63" s="317"/>
      <c r="D63" s="317"/>
      <c r="E63" s="318"/>
      <c r="F63" s="29" t="str">
        <f t="shared" si="2"/>
        <v/>
      </c>
      <c r="G63" s="29" t="str">
        <f t="shared" si="3"/>
        <v/>
      </c>
      <c r="H63" s="29" t="str">
        <f t="shared" si="4"/>
        <v/>
      </c>
      <c r="I63" s="35"/>
      <c r="J63" s="35"/>
      <c r="K63" s="30"/>
    </row>
    <row r="64" spans="2:11" s="28" customFormat="1" ht="19.899999999999999" customHeight="1">
      <c r="B64" s="96">
        <v>11</v>
      </c>
      <c r="C64" s="317"/>
      <c r="D64" s="317"/>
      <c r="E64" s="318"/>
      <c r="F64" s="29" t="str">
        <f t="shared" si="2"/>
        <v/>
      </c>
      <c r="G64" s="29" t="str">
        <f t="shared" si="3"/>
        <v/>
      </c>
      <c r="H64" s="29" t="str">
        <f t="shared" si="4"/>
        <v/>
      </c>
      <c r="I64" s="35"/>
      <c r="J64" s="35"/>
      <c r="K64" s="30"/>
    </row>
    <row r="65" spans="2:11" s="28" customFormat="1" ht="19.899999999999999" customHeight="1" thickBot="1">
      <c r="B65" s="98">
        <v>12</v>
      </c>
      <c r="C65" s="319"/>
      <c r="D65" s="319"/>
      <c r="E65" s="320"/>
      <c r="F65" s="31" t="str">
        <f t="shared" si="2"/>
        <v/>
      </c>
      <c r="G65" s="31" t="str">
        <f t="shared" si="3"/>
        <v/>
      </c>
      <c r="H65" s="31" t="str">
        <f t="shared" si="4"/>
        <v/>
      </c>
      <c r="I65" s="37"/>
      <c r="J65" s="37"/>
      <c r="K65" s="32"/>
    </row>
    <row r="66" spans="2:11" ht="15"/>
    <row r="67" spans="2:11" ht="15" hidden="1"/>
    <row r="68" spans="2:11" ht="14.45" customHeight="1"/>
  </sheetData>
  <sheetProtection algorithmName="SHA-512" hashValue="513YDShI1of1s8659KGzng4P6wSp4a2d7WphYruSlOXPgSvSDHQFQNKcc2tehSv8Orp7BeLgenRsbjwLUqglfw==" saltValue="n+35Ys+uYUxVDY80ECNszQ==" spinCount="100000" sheet="1" objects="1" scenarios="1" selectLockedCells="1" autoFilter="0"/>
  <mergeCells count="17">
    <mergeCell ref="E2:J4"/>
    <mergeCell ref="E11:F11"/>
    <mergeCell ref="B9:C9"/>
    <mergeCell ref="E9:F9"/>
    <mergeCell ref="H9:J9"/>
    <mergeCell ref="B10:C10"/>
    <mergeCell ref="E10:F10"/>
    <mergeCell ref="H10:J10"/>
    <mergeCell ref="H11:J11"/>
    <mergeCell ref="B11:C11"/>
    <mergeCell ref="B50:K50"/>
    <mergeCell ref="F51:H51"/>
    <mergeCell ref="B12:C12"/>
    <mergeCell ref="E12:F12"/>
    <mergeCell ref="E15:F15"/>
    <mergeCell ref="E24:F24"/>
    <mergeCell ref="B16:C16"/>
  </mergeCells>
  <dataValidations count="2">
    <dataValidation type="list" allowBlank="1" showInputMessage="1" showErrorMessage="1" sqref="E24" xr:uid="{00000000-0002-0000-0800-000000000000}">
      <formula1>$G$24:$H$24</formula1>
    </dataValidation>
    <dataValidation type="list" allowBlank="1" showInputMessage="1" showErrorMessage="1" sqref="E16" xr:uid="{1D3DBA99-4156-4E4B-BE78-6A3F55F95244}">
      <formula1>$M$16:$M$17</formula1>
    </dataValidation>
  </dataValidations>
  <pageMargins left="0.7" right="0.7" top="0.78740157499999996" bottom="0.78740157499999996" header="0.3" footer="0.3"/>
  <pageSetup paperSize="9" scale="64" orientation="portrait" r:id="rId1"/>
  <colBreaks count="1" manualBreakCount="1">
    <brk id="12"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fb89ce3-52f9-4a82-ad11-328030203f07">
      <Terms xmlns="http://schemas.microsoft.com/office/infopath/2007/PartnerControls"/>
    </lcf76f155ced4ddcb4097134ff3c332f>
    <TaxCatchAll xmlns="988398db-6a81-4dea-85da-b1d36c96a0b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C7845BFDAA8943A41E4CCA77A798CF" ma:contentTypeVersion="16" ma:contentTypeDescription="Create a new document." ma:contentTypeScope="" ma:versionID="6c73fcc6bfe4a917a1023bb451f5dd7c">
  <xsd:schema xmlns:xsd="http://www.w3.org/2001/XMLSchema" xmlns:xs="http://www.w3.org/2001/XMLSchema" xmlns:p="http://schemas.microsoft.com/office/2006/metadata/properties" xmlns:ns2="5fb89ce3-52f9-4a82-ad11-328030203f07" xmlns:ns3="988398db-6a81-4dea-85da-b1d36c96a0b4" targetNamespace="http://schemas.microsoft.com/office/2006/metadata/properties" ma:root="true" ma:fieldsID="a3d3c476f30eb44e22b44d53b64bb6ec" ns2:_="" ns3:_="">
    <xsd:import namespace="5fb89ce3-52f9-4a82-ad11-328030203f07"/>
    <xsd:import namespace="988398db-6a81-4dea-85da-b1d36c96a0b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b89ce3-52f9-4a82-ad11-328030203f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4d9c2d5-c5c3-4c7a-85a4-91095d1af475"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8398db-6a81-4dea-85da-b1d36c96a0b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f8f189c-bcbd-440c-b78a-28f37c0c721e}" ma:internalName="TaxCatchAll" ma:showField="CatchAllData" ma:web="988398db-6a81-4dea-85da-b1d36c96a0b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F1FCC3-60D7-4D31-8F80-9313A95AA02A}">
  <ds:schemaRefs>
    <ds:schemaRef ds:uri="http://www.w3.org/XML/1998/namespace"/>
    <ds:schemaRef ds:uri="http://schemas.microsoft.com/office/2006/metadata/properties"/>
    <ds:schemaRef ds:uri="http://schemas.microsoft.com/office/2006/documentManagement/types"/>
    <ds:schemaRef ds:uri="http://purl.org/dc/elements/1.1/"/>
    <ds:schemaRef ds:uri="http://schemas.microsoft.com/office/infopath/2007/PartnerControls"/>
    <ds:schemaRef ds:uri="988398db-6a81-4dea-85da-b1d36c96a0b4"/>
    <ds:schemaRef ds:uri="http://purl.org/dc/dcmitype/"/>
    <ds:schemaRef ds:uri="http://schemas.openxmlformats.org/package/2006/metadata/core-properties"/>
    <ds:schemaRef ds:uri="5fb89ce3-52f9-4a82-ad11-328030203f07"/>
    <ds:schemaRef ds:uri="http://purl.org/dc/terms/"/>
  </ds:schemaRefs>
</ds:datastoreItem>
</file>

<file path=customXml/itemProps2.xml><?xml version="1.0" encoding="utf-8"?>
<ds:datastoreItem xmlns:ds="http://schemas.openxmlformats.org/officeDocument/2006/customXml" ds:itemID="{543C5F94-3D8D-4DA4-8ECE-7E300E1735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b89ce3-52f9-4a82-ad11-328030203f07"/>
    <ds:schemaRef ds:uri="988398db-6a81-4dea-85da-b1d36c96a0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261865-7C2C-4073-9B04-98A93C44AD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93</vt:i4>
      </vt:variant>
    </vt:vector>
  </HeadingPairs>
  <TitlesOfParts>
    <vt:vector size="116" baseType="lpstr">
      <vt:lpstr>Kurzanleitung</vt:lpstr>
      <vt:lpstr>Bericht</vt:lpstr>
      <vt:lpstr>Datengrundlage</vt:lpstr>
      <vt:lpstr>TF (1)</vt:lpstr>
      <vt:lpstr>TF (2)</vt:lpstr>
      <vt:lpstr>TF (3)</vt:lpstr>
      <vt:lpstr>TF (4)</vt:lpstr>
      <vt:lpstr>TF (5)</vt:lpstr>
      <vt:lpstr>TF (6)</vt:lpstr>
      <vt:lpstr>TF (7)</vt:lpstr>
      <vt:lpstr>TF (8)</vt:lpstr>
      <vt:lpstr>TF (9)</vt:lpstr>
      <vt:lpstr>TF (10)</vt:lpstr>
      <vt:lpstr>TF (11)</vt:lpstr>
      <vt:lpstr>TF (12)</vt:lpstr>
      <vt:lpstr>Basisdaten</vt:lpstr>
      <vt:lpstr>Modulfeld Standard</vt:lpstr>
      <vt:lpstr>Modulfeld blendarm</vt:lpstr>
      <vt:lpstr>Wirtschaftlichkeit_Max</vt:lpstr>
      <vt:lpstr>Wirtschaftlichkeit_Wunsch</vt:lpstr>
      <vt:lpstr>Faktor Ausrichtung</vt:lpstr>
      <vt:lpstr>Anhang</vt:lpstr>
      <vt:lpstr>Versionshinweise</vt:lpstr>
      <vt:lpstr>_AbweichungNord</vt:lpstr>
      <vt:lpstr>_Adresse</vt:lpstr>
      <vt:lpstr>_Amortisationszeit_ges.Min</vt:lpstr>
      <vt:lpstr>_Amortisationszeit_Max</vt:lpstr>
      <vt:lpstr>_Anf_Amortisation</vt:lpstr>
      <vt:lpstr>_Anlageleistung_ges.Min</vt:lpstr>
      <vt:lpstr>_Anlageleistung_Max</vt:lpstr>
      <vt:lpstr>_Anz_Nordmodule_ges.Min</vt:lpstr>
      <vt:lpstr>_Anz_Nordmodule_Max</vt:lpstr>
      <vt:lpstr>_Bez_Modul_Sat</vt:lpstr>
      <vt:lpstr>_Bez_Modul_St</vt:lpstr>
      <vt:lpstr>_Datum_IBS</vt:lpstr>
      <vt:lpstr>_Degradation_pro_Jahr_Satin</vt:lpstr>
      <vt:lpstr>_Degradation_pro_Jahr_Standard</vt:lpstr>
      <vt:lpstr>_Degradation_Satin</vt:lpstr>
      <vt:lpstr>_Degradation_Standard</vt:lpstr>
      <vt:lpstr>_Dok_Titel</vt:lpstr>
      <vt:lpstr>_EF_Ansatz</vt:lpstr>
      <vt:lpstr>_EF_Ges.Min</vt:lpstr>
      <vt:lpstr>_EF_Ges.Min_Rechenwert</vt:lpstr>
      <vt:lpstr>_EF_Max</vt:lpstr>
      <vt:lpstr>_EF_Max_Rechenwert</vt:lpstr>
      <vt:lpstr>_EF_t</vt:lpstr>
      <vt:lpstr>_EingabePV</vt:lpstr>
      <vt:lpstr>_EIV_Ges.Min</vt:lpstr>
      <vt:lpstr>_EIV_Ges.Min_Rechenwert</vt:lpstr>
      <vt:lpstr>_EIV_Max</vt:lpstr>
      <vt:lpstr>_EIV_Max_Rechenwert</vt:lpstr>
      <vt:lpstr>_EIV_t</vt:lpstr>
      <vt:lpstr>_ENG_Basisdaten</vt:lpstr>
      <vt:lpstr>_ENG_Rechenwert</vt:lpstr>
      <vt:lpstr>_Ertrag_Ges.Min</vt:lpstr>
      <vt:lpstr>_Ertrag_max</vt:lpstr>
      <vt:lpstr>_Faktor_Ausrichtung</vt:lpstr>
      <vt:lpstr>_Formularversion</vt:lpstr>
      <vt:lpstr>_Gesamtkosten_Ges.Min</vt:lpstr>
      <vt:lpstr>_Gesamtkosten_tech.Vollb</vt:lpstr>
      <vt:lpstr>_Investitionskosten</vt:lpstr>
      <vt:lpstr>_Ist_MWSt</vt:lpstr>
      <vt:lpstr>_Kap_Verzinsung</vt:lpstr>
      <vt:lpstr>_Lebensdauer</vt:lpstr>
      <vt:lpstr>_Letzte_REV</vt:lpstr>
      <vt:lpstr>_Modul_Randabstand</vt:lpstr>
      <vt:lpstr>_Modul_Spaltenabstand</vt:lpstr>
      <vt:lpstr>_Modul_Zeilenabstand</vt:lpstr>
      <vt:lpstr>_Modulbreite_Satin</vt:lpstr>
      <vt:lpstr>_Modulbreite_Standard</vt:lpstr>
      <vt:lpstr>_Modullänge_Satin</vt:lpstr>
      <vt:lpstr>_Modullänge_Standard</vt:lpstr>
      <vt:lpstr>_Modulleistung_Satin</vt:lpstr>
      <vt:lpstr>_Modulleistung_Standard</vt:lpstr>
      <vt:lpstr>_MWSt_Faktor</vt:lpstr>
      <vt:lpstr>_MWSt_Satz</vt:lpstr>
      <vt:lpstr>_Nächste_REV</vt:lpstr>
      <vt:lpstr>_Neigungswinkel_für_NB_Bund</vt:lpstr>
      <vt:lpstr>_Neigungswinkelbonus_Bund</vt:lpstr>
      <vt:lpstr>_Netzversorger</vt:lpstr>
      <vt:lpstr>_Parkplatzbonus_pronovo</vt:lpstr>
      <vt:lpstr>_PLZ</vt:lpstr>
      <vt:lpstr>_Projektname</vt:lpstr>
      <vt:lpstr>_RasterAzimut</vt:lpstr>
      <vt:lpstr>_RasterNeigung</vt:lpstr>
      <vt:lpstr>_Referenzkosten_blendfrei</vt:lpstr>
      <vt:lpstr>_Referenzkosten_Ges.Min_kWp</vt:lpstr>
      <vt:lpstr>_Referenzkosten_Max_kWp</vt:lpstr>
      <vt:lpstr>_Schwelle_PPBonus</vt:lpstr>
      <vt:lpstr>_Spez_Ertrag_Standort</vt:lpstr>
      <vt:lpstr>_Tabelle_F_Ausrichtung</vt:lpstr>
      <vt:lpstr>_Tarif_Bezug</vt:lpstr>
      <vt:lpstr>_Tarif_Rücklieferung</vt:lpstr>
      <vt:lpstr>_Tarif_Unterhalt_Basisdaten</vt:lpstr>
      <vt:lpstr>_Tarif_Unterhalt_Rechenwert</vt:lpstr>
      <vt:lpstr>_zul_Amortisationszeit</vt:lpstr>
      <vt:lpstr>_ZuschlagNord_Stadt</vt:lpstr>
      <vt:lpstr>_ZuschlagSteil_Stadt</vt:lpstr>
      <vt:lpstr>Anhang!Druckbereich</vt:lpstr>
      <vt:lpstr>Bericht!Druckbereich</vt:lpstr>
      <vt:lpstr>Datengrundlage!Druckbereich</vt:lpstr>
      <vt:lpstr>Kurzanleitung!Druckbereich</vt:lpstr>
      <vt:lpstr>'Modulfeld blendarm'!Druckbereich</vt:lpstr>
      <vt:lpstr>'Modulfeld Standard'!Druckbereich</vt:lpstr>
      <vt:lpstr>'TF (1)'!Druckbereich</vt:lpstr>
      <vt:lpstr>'TF (10)'!Druckbereich</vt:lpstr>
      <vt:lpstr>'TF (11)'!Druckbereich</vt:lpstr>
      <vt:lpstr>'TF (12)'!Druckbereich</vt:lpstr>
      <vt:lpstr>'TF (2)'!Druckbereich</vt:lpstr>
      <vt:lpstr>'TF (3)'!Druckbereich</vt:lpstr>
      <vt:lpstr>'TF (4)'!Druckbereich</vt:lpstr>
      <vt:lpstr>'TF (5)'!Druckbereich</vt:lpstr>
      <vt:lpstr>'TF (6)'!Druckbereich</vt:lpstr>
      <vt:lpstr>'TF (7)'!Druckbereich</vt:lpstr>
      <vt:lpstr>'TF (8)'!Druckbereich</vt:lpstr>
      <vt:lpstr>'TF (9)'!Druckbereich</vt:lpstr>
    </vt:vector>
  </TitlesOfParts>
  <Company>BE Netz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Vonesch</dc:creator>
  <cp:lastModifiedBy>Scherrer Thomas (UWS)</cp:lastModifiedBy>
  <cp:lastPrinted>2024-12-13T09:42:26Z</cp:lastPrinted>
  <dcterms:created xsi:type="dcterms:W3CDTF">2013-03-05T10:44:26Z</dcterms:created>
  <dcterms:modified xsi:type="dcterms:W3CDTF">2026-08-10T07:06:05Z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0x0101005BC7845BFDAA8943A41E4CCA77A798CF</vt:lpwstr>
  </property>
  <property fmtid="{D5CDD505-2E9C-101B-9397-08002B2CF9AE}" pid="3" name="MediaServiceImageTags">
    <vt:lpwstr/>
  </property>
  <property fmtid="{D5CDD505-2E9C-101B-9397-08002B2CF9AE}" pid="4" name="TBCO_ScreenResolution">
    <vt:lpwstr>96 96 1920 1080</vt:lpwstr>
  </property>
</Properties>
</file>